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240" yWindow="120" windowWidth="14940" windowHeight="9225"/>
  </bookViews>
  <sheets>
    <sheet name="Intro" sheetId="18" r:id="rId1"/>
    <sheet name="Graphs" sheetId="1" r:id="rId2"/>
    <sheet name="Inputs" sheetId="2" r:id="rId3"/>
    <sheet name="Demand" sheetId="3" r:id="rId4"/>
    <sheet name="Capital" sheetId="4" r:id="rId5"/>
    <sheet name="Employment" sheetId="5" r:id="rId6"/>
    <sheet name="Income" sheetId="6" r:id="rId7"/>
    <sheet name="Output" sheetId="7" r:id="rId8"/>
    <sheet name="Gov" sheetId="8" r:id="rId9"/>
    <sheet name="Shocks" sheetId="9" r:id="rId10"/>
    <sheet name="Formulas" sheetId="10" r:id="rId11"/>
    <sheet name="(Intermediate Computations)" sheetId="11" state="hidden" r:id="rId12"/>
    <sheet name="(Other Computations)" sheetId="12" state="hidden" r:id="rId13"/>
    <sheet name="Labels" sheetId="13" r:id="rId14"/>
    <sheet name="ZZZ__FnCalls" sheetId="14" state="hidden" r:id="rId15"/>
    <sheet name="ZZZ_Ranges" sheetId="15" state="hidden" r:id="rId16"/>
    <sheet name="ZZZ_Import" sheetId="16" state="hidden" r:id="rId17"/>
  </sheets>
  <definedNames>
    <definedName name="Capital">ZZZ_Ranges!$A$31:$EB$31</definedName>
    <definedName name="Capital_Date">ZZZ_Ranges!$A$33:$EB$33</definedName>
    <definedName name="Capital_Desired">ZZZ_Ranges!$A$34:$EB$34</definedName>
    <definedName name="Capital_Desired_Date">ZZZ_Ranges!$A$36:$EB$36</definedName>
    <definedName name="Capital_Desired_Time_Period">ZZZ_Ranges!$A$35:$EB$35</definedName>
    <definedName name="Capital_Time_Period">ZZZ_Ranges!$A$32:$EB$32</definedName>
    <definedName name="Consumption">ZZZ_Ranges!$A$7:$EB$7</definedName>
    <definedName name="Consumption_Date">ZZZ_Ranges!$A$9:$EB$9</definedName>
    <definedName name="Consumption_Time_Period">ZZZ_Ranges!$A$8:$EB$8</definedName>
    <definedName name="Demand_Aggregate">ZZZ_Ranges!$A$1:$EB$1</definedName>
    <definedName name="Demand_Aggregate_Date">ZZZ_Ranges!$A$3:$EB$3</definedName>
    <definedName name="Demand_Aggregate_Time_Period">ZZZ_Ranges!$A$2:$EB$2</definedName>
    <definedName name="Demand_Expected_Long">ZZZ_Ranges!$A$37:$EB$37</definedName>
    <definedName name="Demand_Expected_Long_Date">ZZZ_Ranges!$A$39:$EB$39</definedName>
    <definedName name="Demand_Expected_Long_Time_Period">ZZZ_Ranges!$A$38:$EB$38</definedName>
    <definedName name="Demand_Expected_Short">ZZZ_Ranges!$A$28:$EB$28</definedName>
    <definedName name="Demand_Expected_Short_Date">ZZZ_Ranges!$A$30:$EB$30</definedName>
    <definedName name="Demand_Expected_Short_Time_Period">ZZZ_Ranges!$A$29:$EB$29</definedName>
    <definedName name="Employment">ZZZ_Ranges!$A$22:$EB$22</definedName>
    <definedName name="Employment_Date">ZZZ_Ranges!$A$24:$EB$24</definedName>
    <definedName name="Employment_Desired">ZZZ_Ranges!$A$25:$EB$25</definedName>
    <definedName name="Employment_Desired_Date">ZZZ_Ranges!$A$27:$EB$27</definedName>
    <definedName name="Employment_Desired_Time_Period">ZZZ_Ranges!$A$26:$EB$26</definedName>
    <definedName name="Employment_Time_Period">ZZZ_Ranges!$A$23:$EB$23</definedName>
    <definedName name="Final_Sales">ZZZ_Ranges!$A$4:$EB$4</definedName>
    <definedName name="Final_Sales_Date">ZZZ_Ranges!$A$6:$EB$6</definedName>
    <definedName name="Final_Sales_Time_Period">ZZZ_Ranges!$A$5:$EB$5</definedName>
    <definedName name="Income_Current_Disposable">ZZZ_Ranges!$A$13:$EB$13</definedName>
    <definedName name="Income_Current_Disposable_Date">ZZZ_Ranges!$A$15:$EB$15</definedName>
    <definedName name="Income_Current_Disposable_Time_Period">ZZZ_Ranges!$A$14:$EB$14</definedName>
    <definedName name="Income_Permanent">ZZZ_Ranges!$A$10:$EB$10</definedName>
    <definedName name="Income_Permanent_Date">ZZZ_Ranges!$A$12:$EB$12</definedName>
    <definedName name="Income_Permanent_Time_Period">ZZZ_Ranges!$A$11:$EB$11</definedName>
    <definedName name="Model_Start_Date">Labels!$B$6</definedName>
    <definedName name="Output">ZZZ_Ranges!$A$16:$EB$16</definedName>
    <definedName name="Output_Date">ZZZ_Ranges!$A$18:$EB$18</definedName>
    <definedName name="Output_Potential">ZZZ_Ranges!$A$19:$EB$19</definedName>
    <definedName name="Output_Potential_Date">ZZZ_Ranges!$A$21:$EB$21</definedName>
    <definedName name="Output_Potential_Time_Period">ZZZ_Ranges!$A$20:$EB$20</definedName>
    <definedName name="Output_Time_Period">ZZZ_Ranges!$A$17:$EB$17</definedName>
    <definedName name="_xlnm.Print_Titles" localSheetId="0">Intro!$1:$4</definedName>
  </definedNames>
  <calcPr calcId="152511"/>
</workbook>
</file>

<file path=xl/calcChain.xml><?xml version="1.0" encoding="utf-8"?>
<calcChain xmlns="http://schemas.openxmlformats.org/spreadsheetml/2006/main">
  <c r="A1" i="2" l="1"/>
  <c r="A2" i="2"/>
  <c r="A3" i="2"/>
  <c r="A4" i="2"/>
  <c r="A5" i="2"/>
  <c r="A6" i="2"/>
  <c r="A7" i="2"/>
  <c r="A8" i="2"/>
  <c r="A11" i="2"/>
  <c r="A12" i="2"/>
  <c r="A13" i="2"/>
  <c r="A14" i="2"/>
  <c r="A17" i="2"/>
  <c r="A18" i="2"/>
  <c r="A19" i="2"/>
  <c r="A20" i="2"/>
  <c r="A21" i="2"/>
  <c r="A22" i="2"/>
  <c r="A25" i="2"/>
  <c r="A26" i="2"/>
  <c r="A27" i="2"/>
  <c r="A28" i="2"/>
  <c r="A29" i="2"/>
  <c r="A32" i="2"/>
  <c r="A33" i="2"/>
  <c r="A34" i="2"/>
  <c r="A35" i="2"/>
  <c r="A38" i="2"/>
  <c r="A39" i="2"/>
  <c r="A40" i="2"/>
  <c r="B40" i="2"/>
  <c r="A43" i="2"/>
  <c r="A44" i="2"/>
  <c r="A45" i="2"/>
  <c r="A48" i="2"/>
  <c r="A49" i="2"/>
  <c r="A50" i="2"/>
  <c r="A51" i="2"/>
  <c r="A52" i="2"/>
  <c r="A55" i="2"/>
  <c r="A56" i="2"/>
  <c r="A57" i="2"/>
  <c r="A58" i="2"/>
  <c r="A1" i="3"/>
  <c r="A2" i="3"/>
  <c r="A3" i="3"/>
  <c r="A4" i="3"/>
  <c r="A5" i="3"/>
  <c r="A7" i="3"/>
  <c r="A9" i="3"/>
  <c r="A11" i="3"/>
  <c r="A13" i="3"/>
  <c r="A15" i="3"/>
  <c r="A17" i="3"/>
  <c r="A19" i="3"/>
  <c r="A21" i="3"/>
  <c r="B21" i="3"/>
  <c r="A22" i="3"/>
  <c r="B22" i="3"/>
  <c r="A1" i="4"/>
  <c r="A2" i="4"/>
  <c r="A3" i="4"/>
  <c r="A4" i="4"/>
  <c r="A5" i="4"/>
  <c r="A7" i="4"/>
  <c r="A9" i="4"/>
  <c r="A11" i="4"/>
  <c r="A13" i="4"/>
  <c r="A15" i="4"/>
  <c r="A16" i="4"/>
  <c r="B16" i="4"/>
  <c r="A17" i="4"/>
  <c r="B17" i="4"/>
  <c r="A18" i="4"/>
  <c r="B18" i="4"/>
  <c r="A19" i="4"/>
  <c r="B19" i="4"/>
  <c r="A1" i="5"/>
  <c r="A2" i="5"/>
  <c r="A3" i="5"/>
  <c r="A4" i="5"/>
  <c r="A5" i="5"/>
  <c r="A7" i="5"/>
  <c r="A9" i="5"/>
  <c r="A11" i="5"/>
  <c r="B11" i="5"/>
  <c r="A12" i="5"/>
  <c r="A13" i="5"/>
  <c r="B13" i="5"/>
  <c r="A14" i="5"/>
  <c r="B14" i="5"/>
  <c r="A1" i="6"/>
  <c r="A2" i="6"/>
  <c r="A3" i="6"/>
  <c r="A4" i="6"/>
  <c r="A5" i="6"/>
  <c r="A7" i="6"/>
  <c r="A9" i="6"/>
  <c r="A11" i="6"/>
  <c r="A13" i="6"/>
  <c r="A15" i="6"/>
  <c r="A17" i="6"/>
  <c r="A19" i="6"/>
  <c r="B19" i="6"/>
  <c r="A20" i="6"/>
  <c r="B20" i="6"/>
  <c r="A1" i="7"/>
  <c r="A2" i="7"/>
  <c r="A3" i="7"/>
  <c r="A4" i="7"/>
  <c r="A5" i="7"/>
  <c r="A7" i="7"/>
  <c r="A9" i="7"/>
  <c r="A11" i="7"/>
  <c r="A13" i="7"/>
  <c r="B13" i="7"/>
  <c r="B16" i="8" s="1"/>
  <c r="A14" i="7"/>
  <c r="B14" i="7"/>
  <c r="A1" i="8"/>
  <c r="A2" i="8"/>
  <c r="A3" i="8"/>
  <c r="A4" i="8"/>
  <c r="A5" i="8"/>
  <c r="A7" i="8"/>
  <c r="A9" i="8"/>
  <c r="A11" i="8"/>
  <c r="A13" i="8"/>
  <c r="B13" i="8"/>
  <c r="D13" i="8"/>
  <c r="A14" i="8"/>
  <c r="B14" i="8"/>
  <c r="A16" i="8"/>
  <c r="A17" i="8"/>
  <c r="B17" i="8"/>
  <c r="A1" i="9"/>
  <c r="A2" i="9"/>
  <c r="A3" i="9"/>
  <c r="A4" i="9"/>
  <c r="A5" i="9"/>
  <c r="A7" i="9"/>
  <c r="A9" i="9"/>
  <c r="A11" i="9"/>
  <c r="A12" i="9"/>
  <c r="B12" i="9"/>
  <c r="A1" i="10"/>
  <c r="A2" i="10"/>
  <c r="A3" i="10"/>
  <c r="A4" i="10"/>
  <c r="A5" i="10"/>
  <c r="B7" i="10"/>
  <c r="B9" i="10"/>
  <c r="B11" i="10"/>
  <c r="B13" i="10"/>
  <c r="B15" i="10"/>
  <c r="B17" i="10"/>
  <c r="B19" i="10"/>
  <c r="B21" i="10"/>
  <c r="B23" i="10"/>
  <c r="B25" i="10"/>
  <c r="B27" i="10"/>
  <c r="B29" i="10"/>
  <c r="B31" i="10"/>
  <c r="B33" i="10"/>
  <c r="B35" i="10"/>
  <c r="B37" i="10"/>
  <c r="B39" i="10"/>
  <c r="B41" i="10"/>
  <c r="B43" i="10"/>
  <c r="B45" i="10"/>
  <c r="B47" i="10"/>
  <c r="B49" i="10"/>
  <c r="B51" i="10"/>
  <c r="B53" i="10"/>
  <c r="B55" i="10"/>
  <c r="B57" i="10"/>
  <c r="B59" i="10"/>
  <c r="B61" i="10"/>
  <c r="B63" i="10"/>
  <c r="B65" i="10"/>
  <c r="B67" i="10"/>
  <c r="B69" i="10"/>
  <c r="B71" i="10"/>
  <c r="B73" i="10"/>
  <c r="B75" i="10"/>
  <c r="B77" i="10"/>
  <c r="B79" i="10"/>
  <c r="B81" i="10"/>
  <c r="B83" i="10"/>
  <c r="B85" i="10"/>
  <c r="B87" i="10"/>
  <c r="B89" i="10"/>
  <c r="B91" i="10"/>
  <c r="B93" i="10"/>
  <c r="B95" i="10"/>
  <c r="B97" i="10"/>
  <c r="B99" i="10"/>
  <c r="B101" i="10"/>
  <c r="A1" i="11"/>
  <c r="A2" i="11"/>
  <c r="A3" i="11"/>
  <c r="A4" i="11"/>
  <c r="A5" i="11"/>
  <c r="A6" i="11"/>
  <c r="A9" i="11"/>
  <c r="A12" i="11"/>
  <c r="A15" i="11"/>
  <c r="A18" i="11"/>
  <c r="A21" i="11"/>
  <c r="A24" i="11"/>
  <c r="A27" i="11"/>
  <c r="A30" i="11"/>
  <c r="A33" i="11"/>
  <c r="A36" i="11"/>
  <c r="A39" i="11"/>
  <c r="A42" i="11"/>
  <c r="A45" i="11"/>
  <c r="A48" i="11"/>
  <c r="A51" i="11"/>
  <c r="A54" i="11"/>
  <c r="A57" i="11"/>
  <c r="A60" i="11"/>
  <c r="A63" i="11"/>
  <c r="A66" i="11"/>
  <c r="A69" i="11"/>
  <c r="A72" i="11"/>
  <c r="A75" i="11"/>
  <c r="A78" i="11"/>
  <c r="A81" i="11"/>
  <c r="A1" i="12"/>
  <c r="A2" i="12"/>
  <c r="A3" i="12"/>
  <c r="A4" i="12"/>
  <c r="A5" i="12"/>
  <c r="A6" i="12"/>
  <c r="B8" i="12"/>
  <c r="A9" i="12"/>
  <c r="B11" i="12"/>
  <c r="A12" i="12"/>
  <c r="B14" i="12"/>
  <c r="C14" i="12"/>
  <c r="D14" i="12" s="1"/>
  <c r="E14" i="12" s="1"/>
  <c r="F14" i="12" s="1"/>
  <c r="G14" i="12" s="1"/>
  <c r="H14" i="12" s="1"/>
  <c r="I14" i="12" s="1"/>
  <c r="J14" i="12" s="1"/>
  <c r="K14" i="12" s="1"/>
  <c r="L14" i="12" s="1"/>
  <c r="M14" i="12" s="1"/>
  <c r="A1" i="13"/>
  <c r="A2" i="13"/>
  <c r="A3" i="13"/>
  <c r="A4" i="13"/>
  <c r="A5" i="13"/>
  <c r="A1" i="14"/>
  <c r="A2" i="14"/>
  <c r="A3" i="14"/>
  <c r="A4" i="14"/>
  <c r="A5" i="14"/>
  <c r="A6" i="14"/>
  <c r="A7" i="14"/>
  <c r="G7" i="14" s="1"/>
  <c r="C7" i="14"/>
  <c r="D7" i="14"/>
  <c r="A8" i="14"/>
  <c r="C8" i="14"/>
  <c r="D8" i="14" s="1"/>
  <c r="A9" i="14"/>
  <c r="C9" i="14"/>
  <c r="D9" i="14" s="1"/>
  <c r="A10" i="14"/>
  <c r="G10" i="14" s="1"/>
  <c r="C10" i="14"/>
  <c r="D10" i="14" s="1"/>
  <c r="A11" i="14"/>
  <c r="F50" i="11" s="1"/>
  <c r="C11" i="14"/>
  <c r="D11" i="14" s="1"/>
  <c r="A12" i="14"/>
  <c r="G50" i="11" s="1"/>
  <c r="F24" i="15" s="1"/>
  <c r="C12" i="14"/>
  <c r="D12" i="14" s="1"/>
  <c r="A13" i="14"/>
  <c r="H56" i="11" s="1"/>
  <c r="G27" i="15" s="1"/>
  <c r="C13" i="14"/>
  <c r="D13" i="14" s="1"/>
  <c r="F13" i="14"/>
  <c r="A14" i="14"/>
  <c r="B14" i="14"/>
  <c r="E14" i="14" s="1"/>
  <c r="C14" i="14"/>
  <c r="D14" i="14" s="1"/>
  <c r="A15" i="14"/>
  <c r="C15" i="14"/>
  <c r="D15" i="14" s="1"/>
  <c r="A16" i="14"/>
  <c r="C16" i="14"/>
  <c r="D16" i="14" s="1"/>
  <c r="G16" i="14"/>
  <c r="A17" i="14"/>
  <c r="C17" i="14"/>
  <c r="D17" i="14" s="1"/>
  <c r="A18" i="14"/>
  <c r="M50" i="11" s="1"/>
  <c r="L24" i="15" s="1"/>
  <c r="C18" i="14"/>
  <c r="D18" i="14" s="1"/>
  <c r="A19" i="14"/>
  <c r="AA44" i="11" s="1"/>
  <c r="C19" i="14"/>
  <c r="D19" i="14" s="1"/>
  <c r="A20" i="14"/>
  <c r="F20" i="14" s="1"/>
  <c r="P83" i="11" s="1"/>
  <c r="N38" i="15" s="1"/>
  <c r="C20" i="14"/>
  <c r="D20" i="14" s="1"/>
  <c r="A21" i="14"/>
  <c r="Q80" i="11" s="1"/>
  <c r="O39" i="15" s="1"/>
  <c r="C21" i="14"/>
  <c r="D21" i="14" s="1"/>
  <c r="A22" i="14"/>
  <c r="F22" i="14" s="1"/>
  <c r="C22" i="14"/>
  <c r="D22" i="14" s="1"/>
  <c r="A23" i="14"/>
  <c r="B23" i="14"/>
  <c r="E23" i="14" s="1"/>
  <c r="C23" i="14"/>
  <c r="D23" i="14" s="1"/>
  <c r="A24" i="14"/>
  <c r="C24" i="14"/>
  <c r="D24" i="14" s="1"/>
  <c r="A25" i="14"/>
  <c r="C25" i="14"/>
  <c r="D25" i="14" s="1"/>
  <c r="G25" i="14"/>
  <c r="A26" i="14"/>
  <c r="F26" i="14" s="1"/>
  <c r="C26" i="14"/>
  <c r="D26" i="14" s="1"/>
  <c r="A27" i="14"/>
  <c r="W80" i="11" s="1"/>
  <c r="U39" i="15" s="1"/>
  <c r="C27" i="14"/>
  <c r="D27" i="14" s="1"/>
  <c r="A28" i="14"/>
  <c r="F28" i="14" s="1"/>
  <c r="C28" i="14"/>
  <c r="D28" i="14" s="1"/>
  <c r="A29" i="14"/>
  <c r="C29" i="14"/>
  <c r="D29" i="14" s="1"/>
  <c r="A30" i="14"/>
  <c r="C30" i="14"/>
  <c r="D30" i="14" s="1"/>
  <c r="A31" i="14"/>
  <c r="G31" i="14" s="1"/>
  <c r="B31" i="14"/>
  <c r="E31" i="14" s="1"/>
  <c r="C31" i="14"/>
  <c r="D31" i="14" s="1"/>
  <c r="A32" i="14"/>
  <c r="C32" i="14"/>
  <c r="D32" i="14" s="1"/>
  <c r="A33" i="14"/>
  <c r="C33" i="14"/>
  <c r="D33" i="14" s="1"/>
  <c r="A34" i="14"/>
  <c r="G34" i="14" s="1"/>
  <c r="B34" i="14"/>
  <c r="E34" i="14" s="1"/>
  <c r="C34" i="14"/>
  <c r="D34" i="14" s="1"/>
  <c r="A35" i="14"/>
  <c r="F35" i="14" s="1"/>
  <c r="C35" i="14"/>
  <c r="D35" i="14" s="1"/>
  <c r="A36" i="14"/>
  <c r="AG80" i="11" s="1"/>
  <c r="AD39" i="15" s="1"/>
  <c r="C36" i="14"/>
  <c r="D36" i="14"/>
  <c r="A37" i="14"/>
  <c r="B37" i="14"/>
  <c r="E37" i="14" s="1"/>
  <c r="C37" i="14"/>
  <c r="D37" i="14" s="1"/>
  <c r="F37" i="14"/>
  <c r="A38" i="14"/>
  <c r="C38" i="14"/>
  <c r="D38" i="14" s="1"/>
  <c r="A39" i="14"/>
  <c r="C39" i="14"/>
  <c r="D39" i="14" s="1"/>
  <c r="A40" i="14"/>
  <c r="G40" i="14" s="1"/>
  <c r="C40" i="14"/>
  <c r="D40" i="14" s="1"/>
  <c r="A41" i="14"/>
  <c r="F41" i="14" s="1"/>
  <c r="C41" i="14"/>
  <c r="D41" i="14" s="1"/>
  <c r="A42" i="14"/>
  <c r="AM80" i="11" s="1"/>
  <c r="AJ39" i="15" s="1"/>
  <c r="C42" i="14"/>
  <c r="D42" i="14" s="1"/>
  <c r="A43" i="14"/>
  <c r="BA80" i="11" s="1"/>
  <c r="C43" i="14"/>
  <c r="D43" i="14" s="1"/>
  <c r="A44" i="14"/>
  <c r="C44" i="14"/>
  <c r="D44" i="14" s="1"/>
  <c r="A45" i="14"/>
  <c r="AQ44" i="11" s="1"/>
  <c r="AM21" i="15" s="1"/>
  <c r="C45" i="14"/>
  <c r="D45" i="14" s="1"/>
  <c r="A46" i="14"/>
  <c r="AR56" i="11" s="1"/>
  <c r="AN27" i="15" s="1"/>
  <c r="C46" i="14"/>
  <c r="D46" i="14" s="1"/>
  <c r="A47" i="14"/>
  <c r="C47" i="14"/>
  <c r="D47" i="14" s="1"/>
  <c r="A48" i="14"/>
  <c r="C48" i="14"/>
  <c r="D48" i="14" s="1"/>
  <c r="A49" i="14"/>
  <c r="G49" i="14" s="1"/>
  <c r="C49" i="14"/>
  <c r="D49" i="14" s="1"/>
  <c r="A50" i="14"/>
  <c r="C50" i="14"/>
  <c r="D50" i="14" s="1"/>
  <c r="F50" i="14"/>
  <c r="A51" i="14"/>
  <c r="AW80" i="11" s="1"/>
  <c r="AS39" i="15" s="1"/>
  <c r="B51" i="14"/>
  <c r="E51" i="14" s="1"/>
  <c r="C51" i="14"/>
  <c r="D51" i="14" s="1"/>
  <c r="F51" i="14"/>
  <c r="AW13" i="12" s="1"/>
  <c r="A52" i="14"/>
  <c r="AX50" i="11" s="1"/>
  <c r="C52" i="14"/>
  <c r="D52" i="14" s="1"/>
  <c r="F52" i="14"/>
  <c r="A53" i="14"/>
  <c r="C53" i="14"/>
  <c r="D53" i="14" s="1"/>
  <c r="A54" i="14"/>
  <c r="B54" i="14"/>
  <c r="E54" i="14" s="1"/>
  <c r="C54" i="14"/>
  <c r="D54" i="14" s="1"/>
  <c r="A55" i="14"/>
  <c r="G55" i="14" s="1"/>
  <c r="C55" i="14"/>
  <c r="D55" i="14" s="1"/>
  <c r="A56" i="14"/>
  <c r="C56" i="14"/>
  <c r="D56" i="14" s="1"/>
  <c r="A57" i="14"/>
  <c r="C57" i="14"/>
  <c r="D57" i="14" s="1"/>
  <c r="A58" i="14"/>
  <c r="G58" i="14" s="1"/>
  <c r="C58" i="14"/>
  <c r="D58" i="14" s="1"/>
  <c r="A59" i="14"/>
  <c r="F59" i="14" s="1"/>
  <c r="C59" i="14"/>
  <c r="D59" i="14" s="1"/>
  <c r="A60" i="14"/>
  <c r="F60" i="14" s="1"/>
  <c r="BG13" i="12" s="1"/>
  <c r="B60" i="14"/>
  <c r="E60" i="14" s="1"/>
  <c r="C60" i="14"/>
  <c r="D60" i="14" s="1"/>
  <c r="A61" i="14"/>
  <c r="BH56" i="11" s="1"/>
  <c r="BC27" i="15" s="1"/>
  <c r="C61" i="14"/>
  <c r="D61" i="14" s="1"/>
  <c r="A62" i="14"/>
  <c r="C62" i="14"/>
  <c r="D62" i="14" s="1"/>
  <c r="A63" i="14"/>
  <c r="F63" i="14" s="1"/>
  <c r="BJ83" i="11" s="1"/>
  <c r="BE38" i="15" s="1"/>
  <c r="C63" i="14"/>
  <c r="D63" i="14" s="1"/>
  <c r="A64" i="14"/>
  <c r="G64" i="14" s="1"/>
  <c r="C64" i="14"/>
  <c r="D64" i="14" s="1"/>
  <c r="A65" i="14"/>
  <c r="F65" i="14" s="1"/>
  <c r="C65" i="14"/>
  <c r="D65" i="14" s="1"/>
  <c r="A66" i="14"/>
  <c r="F66" i="14" s="1"/>
  <c r="BM6" i="6" s="1"/>
  <c r="C66" i="14"/>
  <c r="D66" i="14" s="1"/>
  <c r="A67" i="14"/>
  <c r="F67" i="14" s="1"/>
  <c r="C67" i="14"/>
  <c r="D67" i="14" s="1"/>
  <c r="A68" i="14"/>
  <c r="F68" i="14" s="1"/>
  <c r="B68" i="14"/>
  <c r="E68" i="14" s="1"/>
  <c r="C68" i="14"/>
  <c r="D68" i="14" s="1"/>
  <c r="A69" i="14"/>
  <c r="B69" i="14"/>
  <c r="E69" i="14" s="1"/>
  <c r="C69" i="14"/>
  <c r="D69" i="14" s="1"/>
  <c r="A70" i="14"/>
  <c r="F70" i="14" s="1"/>
  <c r="C70" i="14"/>
  <c r="D70" i="14" s="1"/>
  <c r="A71" i="14"/>
  <c r="F71" i="14" s="1"/>
  <c r="BS82" i="11" s="1"/>
  <c r="C71" i="14"/>
  <c r="D71" i="14" s="1"/>
  <c r="A72" i="14"/>
  <c r="F72" i="14" s="1"/>
  <c r="BT83" i="11" s="1"/>
  <c r="BN38" i="15" s="1"/>
  <c r="C72" i="14"/>
  <c r="D72" i="14" s="1"/>
  <c r="A73" i="14"/>
  <c r="G73" i="14" s="1"/>
  <c r="C73" i="14"/>
  <c r="D73" i="14" s="1"/>
  <c r="A74" i="14"/>
  <c r="F74" i="14" s="1"/>
  <c r="C74" i="14"/>
  <c r="D74" i="14" s="1"/>
  <c r="A75" i="14"/>
  <c r="F75" i="14" s="1"/>
  <c r="C75" i="14"/>
  <c r="D75" i="14" s="1"/>
  <c r="A76" i="14"/>
  <c r="F76" i="14" s="1"/>
  <c r="C76" i="14"/>
  <c r="D76" i="14" s="1"/>
  <c r="A77" i="14"/>
  <c r="F77" i="14" s="1"/>
  <c r="BY13" i="12" s="1"/>
  <c r="B77" i="14"/>
  <c r="E77" i="14" s="1"/>
  <c r="C77" i="14"/>
  <c r="D77" i="14" s="1"/>
  <c r="A78" i="14"/>
  <c r="F78" i="14" s="1"/>
  <c r="BZ83" i="11" s="1"/>
  <c r="BT38" i="15" s="1"/>
  <c r="C78" i="14"/>
  <c r="D78" i="14" s="1"/>
  <c r="A79" i="14"/>
  <c r="G79" i="14" s="1"/>
  <c r="C79" i="14"/>
  <c r="D79" i="14" s="1"/>
  <c r="A80" i="14"/>
  <c r="F80" i="14" s="1"/>
  <c r="CC13" i="12" s="1"/>
  <c r="C80" i="14"/>
  <c r="D80" i="14" s="1"/>
  <c r="A81" i="14"/>
  <c r="F81" i="14" s="1"/>
  <c r="C81" i="14"/>
  <c r="D81" i="14" s="1"/>
  <c r="A82" i="14"/>
  <c r="F82" i="14" s="1"/>
  <c r="CE82" i="11" s="1"/>
  <c r="C82" i="14"/>
  <c r="D82" i="14" s="1"/>
  <c r="A83" i="14"/>
  <c r="F83" i="14" s="1"/>
  <c r="B83" i="14"/>
  <c r="E83" i="14" s="1"/>
  <c r="C83" i="14"/>
  <c r="D83" i="14" s="1"/>
  <c r="A84" i="14"/>
  <c r="F84" i="14" s="1"/>
  <c r="C84" i="14"/>
  <c r="D84" i="14" s="1"/>
  <c r="A85" i="14"/>
  <c r="C85" i="14"/>
  <c r="D85" i="14" s="1"/>
  <c r="A86" i="14"/>
  <c r="C86" i="14"/>
  <c r="D86" i="14" s="1"/>
  <c r="F86" i="14"/>
  <c r="A87" i="14"/>
  <c r="C87" i="14"/>
  <c r="D87" i="14" s="1"/>
  <c r="F87" i="14"/>
  <c r="A88" i="14"/>
  <c r="G88" i="14" s="1"/>
  <c r="C88" i="14"/>
  <c r="D88" i="14" s="1"/>
  <c r="A89" i="14"/>
  <c r="F89" i="14" s="1"/>
  <c r="C89" i="14"/>
  <c r="D89" i="14" s="1"/>
  <c r="A90" i="14"/>
  <c r="F90" i="14" s="1"/>
  <c r="C90" i="14"/>
  <c r="D90" i="14" s="1"/>
  <c r="A91" i="14"/>
  <c r="H91" i="14" s="1"/>
  <c r="DA6" i="6" s="1"/>
  <c r="B91" i="14"/>
  <c r="E91" i="14" s="1"/>
  <c r="C91" i="14"/>
  <c r="D91" i="14" s="1"/>
  <c r="A92" i="14"/>
  <c r="F92" i="14" s="1"/>
  <c r="CP6" i="5" s="1"/>
  <c r="C92" i="14"/>
  <c r="D92" i="14" s="1"/>
  <c r="A93" i="14"/>
  <c r="F93" i="14" s="1"/>
  <c r="C93" i="14"/>
  <c r="D93" i="14" s="1"/>
  <c r="A94" i="14"/>
  <c r="F94" i="14" s="1"/>
  <c r="C94" i="14"/>
  <c r="D94" i="14" s="1"/>
  <c r="A95" i="14"/>
  <c r="F95" i="14" s="1"/>
  <c r="CS13" i="12" s="1"/>
  <c r="C95" i="14"/>
  <c r="D95" i="14" s="1"/>
  <c r="A96" i="14"/>
  <c r="F96" i="14" s="1"/>
  <c r="C96" i="14"/>
  <c r="D96" i="14" s="1"/>
  <c r="A97" i="14"/>
  <c r="C97" i="14"/>
  <c r="D97" i="14" s="1"/>
  <c r="A98" i="14"/>
  <c r="F98" i="14" s="1"/>
  <c r="CV6" i="4" s="1"/>
  <c r="C98" i="14"/>
  <c r="D98" i="14" s="1"/>
  <c r="A99" i="14"/>
  <c r="F99" i="14" s="1"/>
  <c r="C99" i="14"/>
  <c r="D99" i="14" s="1"/>
  <c r="A100" i="14"/>
  <c r="G100" i="14" s="1"/>
  <c r="B100" i="14"/>
  <c r="C100" i="14"/>
  <c r="D100" i="14" s="1"/>
  <c r="E100" i="14"/>
  <c r="A101" i="14"/>
  <c r="F101" i="14" s="1"/>
  <c r="CY82" i="11" s="1"/>
  <c r="C101" i="14"/>
  <c r="D101" i="14"/>
  <c r="A102" i="14"/>
  <c r="F102" i="14"/>
  <c r="CZ83" i="11" s="1"/>
  <c r="CR38" i="15" s="1"/>
  <c r="C102" i="14"/>
  <c r="D102" i="14" s="1"/>
  <c r="A103" i="14"/>
  <c r="G103" i="14" s="1"/>
  <c r="C103" i="14"/>
  <c r="D103" i="14" s="1"/>
  <c r="A104" i="14"/>
  <c r="F104" i="14" s="1"/>
  <c r="DC82" i="11" s="1"/>
  <c r="C104" i="14"/>
  <c r="D104" i="14" s="1"/>
  <c r="A105" i="14"/>
  <c r="F105" i="14" s="1"/>
  <c r="DD83" i="11" s="1"/>
  <c r="CU38" i="15" s="1"/>
  <c r="C105" i="14"/>
  <c r="D105" i="14" s="1"/>
  <c r="A106" i="14"/>
  <c r="B106" i="14"/>
  <c r="E106" i="14" s="1"/>
  <c r="C106" i="14"/>
  <c r="D106" i="14" s="1"/>
  <c r="A107" i="14"/>
  <c r="F107" i="14" s="1"/>
  <c r="C107" i="14"/>
  <c r="D107" i="14" s="1"/>
  <c r="A108" i="14"/>
  <c r="F108" i="14" s="1"/>
  <c r="C108" i="14"/>
  <c r="D108" i="14" s="1"/>
  <c r="A109" i="14"/>
  <c r="G109" i="14" s="1"/>
  <c r="B109" i="14"/>
  <c r="E109" i="14" s="1"/>
  <c r="C109" i="14"/>
  <c r="D109" i="14" s="1"/>
  <c r="A110" i="14"/>
  <c r="F110" i="14" s="1"/>
  <c r="DI13" i="12" s="1"/>
  <c r="C110" i="14"/>
  <c r="D110" i="14" s="1"/>
  <c r="A111" i="14"/>
  <c r="C111" i="14"/>
  <c r="D111" i="14" s="1"/>
  <c r="F111" i="14"/>
  <c r="A112" i="14"/>
  <c r="C112" i="14"/>
  <c r="D112" i="14" s="1"/>
  <c r="F112" i="14"/>
  <c r="DK13" i="12" s="1"/>
  <c r="G112" i="14"/>
  <c r="A113" i="14"/>
  <c r="F113" i="14"/>
  <c r="DL6" i="4" s="1"/>
  <c r="C113" i="14"/>
  <c r="D113" i="14"/>
  <c r="A114" i="14"/>
  <c r="F114" i="14"/>
  <c r="C114" i="14"/>
  <c r="D114" i="14"/>
  <c r="A115" i="14"/>
  <c r="EA80" i="11"/>
  <c r="C115" i="14"/>
  <c r="D115" i="14"/>
  <c r="A116" i="14"/>
  <c r="F116" i="14"/>
  <c r="C116" i="14"/>
  <c r="D116" i="14"/>
  <c r="A117" i="14"/>
  <c r="F117" i="14"/>
  <c r="C117" i="14"/>
  <c r="D117" i="14"/>
  <c r="A118" i="14"/>
  <c r="F118" i="14"/>
  <c r="C118" i="14"/>
  <c r="D118" i="14"/>
  <c r="G118" i="14"/>
  <c r="A119" i="14"/>
  <c r="F119" i="14" s="1"/>
  <c r="DS13" i="12" s="1"/>
  <c r="C119" i="14"/>
  <c r="D119" i="14"/>
  <c r="A120" i="14"/>
  <c r="F120" i="14"/>
  <c r="DT83" i="11" s="1"/>
  <c r="DJ38" i="15" s="1"/>
  <c r="C120" i="14"/>
  <c r="D120" i="14" s="1"/>
  <c r="A121" i="14"/>
  <c r="C121" i="14"/>
  <c r="D121" i="14" s="1"/>
  <c r="A122" i="14"/>
  <c r="C122" i="14"/>
  <c r="D122" i="14" s="1"/>
  <c r="A123" i="14"/>
  <c r="B123" i="14"/>
  <c r="E123" i="14" s="1"/>
  <c r="C123" i="14"/>
  <c r="D123" i="14" s="1"/>
  <c r="A124" i="14"/>
  <c r="C124" i="14"/>
  <c r="D124" i="14" s="1"/>
  <c r="A125" i="14"/>
  <c r="F125" i="14" s="1"/>
  <c r="DY13" i="12" s="1"/>
  <c r="C125" i="14"/>
  <c r="D125" i="14" s="1"/>
  <c r="A126" i="14"/>
  <c r="F126" i="14" s="1"/>
  <c r="B126" i="14"/>
  <c r="E126" i="14" s="1"/>
  <c r="C126" i="14"/>
  <c r="D126" i="14" s="1"/>
  <c r="A127" i="14"/>
  <c r="C127" i="14"/>
  <c r="D127" i="14" s="1"/>
  <c r="H127" i="14"/>
  <c r="A128" i="14"/>
  <c r="F128" i="14" s="1"/>
  <c r="EC13" i="12"/>
  <c r="C128" i="14"/>
  <c r="D128" i="14"/>
  <c r="A129" i="14"/>
  <c r="B129" i="14"/>
  <c r="E129" i="14" s="1"/>
  <c r="C129" i="14"/>
  <c r="D129" i="14" s="1"/>
  <c r="F129" i="14"/>
  <c r="A130" i="14"/>
  <c r="F130" i="14"/>
  <c r="C130" i="14"/>
  <c r="D130" i="14"/>
  <c r="A131" i="14"/>
  <c r="F131" i="14"/>
  <c r="EF13" i="11" s="1"/>
  <c r="C131" i="14"/>
  <c r="D131" i="14"/>
  <c r="A132" i="14"/>
  <c r="F132" i="14"/>
  <c r="C132" i="14"/>
  <c r="D132" i="14"/>
  <c r="A133" i="14"/>
  <c r="F133" i="14"/>
  <c r="EH7" i="11" s="1"/>
  <c r="C133" i="14"/>
  <c r="D133" i="14"/>
  <c r="G133" i="14"/>
  <c r="A134" i="14"/>
  <c r="EI32" i="11" s="1"/>
  <c r="DX15" i="15" s="1"/>
  <c r="C134" i="14"/>
  <c r="D134" i="14"/>
  <c r="A135" i="14"/>
  <c r="F135" i="14"/>
  <c r="EJ83" i="11" s="1"/>
  <c r="DY38" i="15" s="1"/>
  <c r="C135" i="14"/>
  <c r="D135" i="14" s="1"/>
  <c r="A136" i="14"/>
  <c r="C136" i="14"/>
  <c r="D136" i="14" s="1"/>
  <c r="A137" i="14"/>
  <c r="B137" i="14"/>
  <c r="E137" i="14" s="1"/>
  <c r="C137" i="14"/>
  <c r="D137" i="14" s="1"/>
  <c r="A138" i="14"/>
  <c r="EM80" i="11" s="1"/>
  <c r="EB39" i="15" s="1"/>
  <c r="C138" i="14"/>
  <c r="D138" i="14" s="1"/>
  <c r="E24" i="15"/>
  <c r="AT24" i="15"/>
  <c r="B1" i="16"/>
  <c r="D1" i="16"/>
  <c r="F1" i="16"/>
  <c r="H1" i="16"/>
  <c r="J1" i="16"/>
  <c r="L1" i="16"/>
  <c r="N1" i="16"/>
  <c r="P1" i="16"/>
  <c r="R1" i="16"/>
  <c r="T1" i="16"/>
  <c r="V1" i="16"/>
  <c r="X1" i="16"/>
  <c r="Z1" i="16"/>
  <c r="AB1" i="16"/>
  <c r="AD1" i="16"/>
  <c r="AF1" i="16"/>
  <c r="AH1" i="16"/>
  <c r="AJ1" i="16"/>
  <c r="AL1" i="16"/>
  <c r="AN1" i="16"/>
  <c r="AP1" i="16"/>
  <c r="AR1" i="16"/>
  <c r="AT1" i="16"/>
  <c r="AV1" i="16"/>
  <c r="AX1" i="16"/>
  <c r="AZ1" i="16"/>
  <c r="BB1" i="16"/>
  <c r="BD1" i="16"/>
  <c r="BF1" i="16"/>
  <c r="BH1" i="16"/>
  <c r="BJ1" i="16"/>
  <c r="BL1" i="16"/>
  <c r="B2" i="16"/>
  <c r="D2" i="16"/>
  <c r="F2" i="16"/>
  <c r="H2" i="16"/>
  <c r="J2" i="16"/>
  <c r="L2" i="16"/>
  <c r="N2" i="16"/>
  <c r="P2" i="16"/>
  <c r="R2" i="16"/>
  <c r="T2" i="16"/>
  <c r="V2" i="16"/>
  <c r="X2" i="16"/>
  <c r="Z2" i="16"/>
  <c r="AB2" i="16"/>
  <c r="AD2" i="16"/>
  <c r="AF2" i="16"/>
  <c r="AH2" i="16"/>
  <c r="AJ2" i="16"/>
  <c r="AL2" i="16"/>
  <c r="AN2" i="16"/>
  <c r="AP2" i="16"/>
  <c r="AR2" i="16"/>
  <c r="AT2" i="16"/>
  <c r="AV2" i="16"/>
  <c r="AX2" i="16"/>
  <c r="AZ2" i="16"/>
  <c r="BB2" i="16"/>
  <c r="BD2" i="16"/>
  <c r="BF2" i="16"/>
  <c r="BH2" i="16"/>
  <c r="BJ2" i="16"/>
  <c r="BL2" i="16"/>
  <c r="B3" i="16"/>
  <c r="D3" i="16"/>
  <c r="F3" i="16"/>
  <c r="H3" i="16"/>
  <c r="J3" i="16"/>
  <c r="L3" i="16"/>
  <c r="N3" i="16"/>
  <c r="P3" i="16"/>
  <c r="R3" i="16"/>
  <c r="T3" i="16"/>
  <c r="V3" i="16"/>
  <c r="X3" i="16"/>
  <c r="Z3" i="16"/>
  <c r="AB3" i="16"/>
  <c r="AD3" i="16"/>
  <c r="AF3" i="16"/>
  <c r="AH3" i="16"/>
  <c r="AJ3" i="16"/>
  <c r="AL3" i="16"/>
  <c r="AN3" i="16"/>
  <c r="AP3" i="16"/>
  <c r="AR3" i="16"/>
  <c r="AT3" i="16"/>
  <c r="AV3" i="16"/>
  <c r="AX3" i="16"/>
  <c r="AZ3" i="16"/>
  <c r="BB3" i="16"/>
  <c r="BD3" i="16"/>
  <c r="BF3" i="16"/>
  <c r="BH3" i="16"/>
  <c r="BJ3" i="16"/>
  <c r="BL3" i="16"/>
  <c r="B4" i="16"/>
  <c r="B5" i="16"/>
  <c r="D5" i="16"/>
  <c r="F5" i="16"/>
  <c r="H5" i="16"/>
  <c r="J5" i="16"/>
  <c r="L5" i="16"/>
  <c r="N5" i="16"/>
  <c r="P5" i="16"/>
  <c r="R5" i="16"/>
  <c r="T5" i="16"/>
  <c r="V5" i="16"/>
  <c r="X5" i="16"/>
  <c r="Z5" i="16"/>
  <c r="AB5" i="16"/>
  <c r="AF5" i="16"/>
  <c r="B6" i="16"/>
  <c r="D6" i="16"/>
  <c r="F6" i="16"/>
  <c r="H6" i="16"/>
  <c r="J6" i="16"/>
  <c r="L6" i="16"/>
  <c r="N6" i="16"/>
  <c r="P6" i="16"/>
  <c r="R6" i="16"/>
  <c r="T6" i="16"/>
  <c r="V6" i="16"/>
  <c r="X6" i="16"/>
  <c r="Z6" i="16"/>
  <c r="AB6" i="16"/>
  <c r="AD6" i="16"/>
  <c r="AF6" i="16"/>
  <c r="AJ6" i="16"/>
  <c r="AL6" i="16"/>
  <c r="G130" i="14"/>
  <c r="G115" i="14"/>
  <c r="F88" i="14"/>
  <c r="CK13" i="12" s="1"/>
  <c r="G82" i="14"/>
  <c r="F79" i="14"/>
  <c r="CB83" i="11" s="1"/>
  <c r="BU38" i="15" s="1"/>
  <c r="F61" i="14"/>
  <c r="BH83" i="11" s="1"/>
  <c r="BC38" i="15" s="1"/>
  <c r="G46" i="14"/>
  <c r="F45" i="14"/>
  <c r="AQ13" i="12" s="1"/>
  <c r="F43" i="14"/>
  <c r="AO13" i="12" s="1"/>
  <c r="F36" i="14"/>
  <c r="AG13" i="12" s="1"/>
  <c r="G28" i="14"/>
  <c r="F27" i="14"/>
  <c r="W82" i="11" s="1"/>
  <c r="G19" i="14"/>
  <c r="F18" i="14"/>
  <c r="M13" i="12" s="1"/>
  <c r="F11" i="14"/>
  <c r="F83" i="11" s="1"/>
  <c r="E38" i="15" s="1"/>
  <c r="AO80" i="11"/>
  <c r="AK39" i="15" s="1"/>
  <c r="G80" i="11"/>
  <c r="F39" i="15" s="1"/>
  <c r="G94" i="14"/>
  <c r="G76" i="14"/>
  <c r="G70" i="14"/>
  <c r="G67" i="14"/>
  <c r="G61" i="14"/>
  <c r="G43" i="14"/>
  <c r="AQ80" i="11"/>
  <c r="AM39" i="15" s="1"/>
  <c r="AA80" i="11"/>
  <c r="M80" i="11"/>
  <c r="L39" i="15" s="1"/>
  <c r="O80" i="11"/>
  <c r="M39" i="15" s="1"/>
  <c r="F46" i="14"/>
  <c r="AR83" i="11" s="1"/>
  <c r="AN38" i="15" s="1"/>
  <c r="F21" i="14"/>
  <c r="Q13" i="12" s="1"/>
  <c r="F19" i="14"/>
  <c r="F12" i="14"/>
  <c r="EG43" i="11"/>
  <c r="DQ6" i="5"/>
  <c r="DQ23" i="11"/>
  <c r="DG8" i="15" s="1"/>
  <c r="DQ37" i="11"/>
  <c r="DQ41" i="11"/>
  <c r="DG17" i="15" s="1"/>
  <c r="DQ65" i="11"/>
  <c r="DG29" i="15" s="1"/>
  <c r="DQ58" i="11"/>
  <c r="DQ73" i="11"/>
  <c r="CV6" i="6"/>
  <c r="CV6" i="8"/>
  <c r="CV11" i="11"/>
  <c r="CN2" i="15" s="1"/>
  <c r="CV7" i="11"/>
  <c r="CV10" i="11"/>
  <c r="CV22" i="11"/>
  <c r="CV31" i="11"/>
  <c r="CV52" i="11"/>
  <c r="CV23" i="11"/>
  <c r="CN8" i="15" s="1"/>
  <c r="CV47" i="11"/>
  <c r="CN20" i="15" s="1"/>
  <c r="CV49" i="11"/>
  <c r="CV71" i="11"/>
  <c r="CN32" i="15" s="1"/>
  <c r="CV76" i="11"/>
  <c r="CV65" i="11"/>
  <c r="CN29" i="15" s="1"/>
  <c r="CV67" i="11"/>
  <c r="CV70" i="11"/>
  <c r="CV13" i="12"/>
  <c r="CP6" i="4"/>
  <c r="CP6" i="6"/>
  <c r="CP6" i="7"/>
  <c r="CP7" i="11"/>
  <c r="CP22" i="11"/>
  <c r="CP23" i="11"/>
  <c r="CH8" i="15" s="1"/>
  <c r="CP25" i="11"/>
  <c r="CP16" i="11"/>
  <c r="CP29" i="11"/>
  <c r="CH11" i="15" s="1"/>
  <c r="CP31" i="11"/>
  <c r="CP17" i="11"/>
  <c r="CH5" i="15" s="1"/>
  <c r="CP40" i="11"/>
  <c r="CP37" i="11"/>
  <c r="CP47" i="11"/>
  <c r="CH20" i="15" s="1"/>
  <c r="CP49" i="11"/>
  <c r="CP65" i="11"/>
  <c r="CH29" i="15" s="1"/>
  <c r="CP67" i="11"/>
  <c r="CP52" i="11"/>
  <c r="CP70" i="11"/>
  <c r="CP13" i="12"/>
  <c r="CP71" i="11"/>
  <c r="CH32" i="15" s="1"/>
  <c r="CP73" i="11"/>
  <c r="CP76" i="11"/>
  <c r="DA6" i="5"/>
  <c r="DA6" i="4"/>
  <c r="DA6" i="8"/>
  <c r="DA7" i="11"/>
  <c r="DA10" i="11"/>
  <c r="DA25" i="11"/>
  <c r="DA37" i="11"/>
  <c r="DA43" i="11"/>
  <c r="DA34" i="11"/>
  <c r="DA40" i="11"/>
  <c r="DA52" i="11"/>
  <c r="DA76" i="11"/>
  <c r="DA67" i="11"/>
  <c r="DA58" i="11"/>
  <c r="DA46" i="11"/>
  <c r="DA73" i="11"/>
  <c r="DA13" i="12"/>
  <c r="BV6" i="4"/>
  <c r="BV6" i="6"/>
  <c r="BV7" i="11"/>
  <c r="BV22" i="11"/>
  <c r="BV23" i="11"/>
  <c r="BP8" i="15" s="1"/>
  <c r="BV19" i="11"/>
  <c r="BV29" i="11"/>
  <c r="BP11" i="15" s="1"/>
  <c r="BV31" i="11"/>
  <c r="BV35" i="11"/>
  <c r="BP14" i="15" s="1"/>
  <c r="BV40" i="11"/>
  <c r="BV52" i="11"/>
  <c r="BV67" i="11"/>
  <c r="BV58" i="11"/>
  <c r="BV82" i="11"/>
  <c r="BV61" i="11"/>
  <c r="BV47" i="11"/>
  <c r="BP20" i="15" s="1"/>
  <c r="BV49" i="11"/>
  <c r="BL6" i="4"/>
  <c r="BL6" i="6"/>
  <c r="BL6" i="8"/>
  <c r="BL11" i="11"/>
  <c r="BG2" i="15" s="1"/>
  <c r="BL13" i="11"/>
  <c r="BL7" i="11"/>
  <c r="BL22" i="11"/>
  <c r="BL23" i="11"/>
  <c r="BG8" i="15" s="1"/>
  <c r="BL25" i="11"/>
  <c r="BL35" i="11"/>
  <c r="BG14" i="15" s="1"/>
  <c r="BL37" i="11"/>
  <c r="BL52" i="11"/>
  <c r="BL41" i="11"/>
  <c r="BG17" i="15" s="1"/>
  <c r="BL43" i="11"/>
  <c r="BL59" i="11"/>
  <c r="BG26" i="15" s="1"/>
  <c r="BL61" i="11"/>
  <c r="BL64" i="11"/>
  <c r="BL46" i="11"/>
  <c r="BL65" i="11"/>
  <c r="BG29" i="15" s="1"/>
  <c r="BL67" i="11"/>
  <c r="BL47" i="11"/>
  <c r="BG20" i="15" s="1"/>
  <c r="BL49" i="11"/>
  <c r="BL70" i="11"/>
  <c r="BL13" i="12"/>
  <c r="EF28" i="11"/>
  <c r="EF79" i="11"/>
  <c r="DP6" i="4"/>
  <c r="DP22" i="11"/>
  <c r="DP40" i="11"/>
  <c r="DP31" i="11"/>
  <c r="DP64" i="11"/>
  <c r="DP77" i="11"/>
  <c r="DF35" i="15" s="1"/>
  <c r="DP70" i="11"/>
  <c r="DG6" i="3"/>
  <c r="DG6" i="4"/>
  <c r="DG6" i="5"/>
  <c r="DG6" i="6"/>
  <c r="DG6" i="9"/>
  <c r="DG6" i="7"/>
  <c r="DG6" i="8"/>
  <c r="DG10" i="11"/>
  <c r="DG11" i="11"/>
  <c r="CX2" i="15" s="1"/>
  <c r="DG13" i="11"/>
  <c r="DG23" i="11"/>
  <c r="CX8" i="15" s="1"/>
  <c r="DG25" i="11"/>
  <c r="DG16" i="11"/>
  <c r="DG19" i="11"/>
  <c r="DG22" i="11"/>
  <c r="DG29" i="11"/>
  <c r="CX11" i="15" s="1"/>
  <c r="DG31" i="11"/>
  <c r="DG7" i="11"/>
  <c r="DG17" i="11"/>
  <c r="CX5" i="15" s="1"/>
  <c r="DG34" i="11"/>
  <c r="DG47" i="11"/>
  <c r="CX20" i="15" s="1"/>
  <c r="DG49" i="11"/>
  <c r="DG40" i="11"/>
  <c r="DG28" i="11"/>
  <c r="DG37" i="11"/>
  <c r="DG41" i="11"/>
  <c r="CX17" i="15" s="1"/>
  <c r="DG43" i="11"/>
  <c r="DG35" i="11"/>
  <c r="CX14" i="15" s="1"/>
  <c r="DG58" i="11"/>
  <c r="DG70" i="11"/>
  <c r="DG59" i="11"/>
  <c r="CX26" i="15" s="1"/>
  <c r="DG61" i="11"/>
  <c r="DG71" i="11"/>
  <c r="CX32" i="15" s="1"/>
  <c r="DG73" i="11"/>
  <c r="DG83" i="11"/>
  <c r="CX38" i="15" s="1"/>
  <c r="DG52" i="11"/>
  <c r="DG64" i="11"/>
  <c r="DG76" i="11"/>
  <c r="DG46" i="11"/>
  <c r="DG53" i="11"/>
  <c r="CX23" i="15" s="1"/>
  <c r="DG55" i="11"/>
  <c r="DG65" i="11"/>
  <c r="CX29" i="15" s="1"/>
  <c r="DG67" i="11"/>
  <c r="DG77" i="11"/>
  <c r="CX35" i="15" s="1"/>
  <c r="DG79" i="11"/>
  <c r="DG13" i="12"/>
  <c r="DG82" i="11"/>
  <c r="CM6" i="3"/>
  <c r="CM6" i="4"/>
  <c r="CM6" i="5"/>
  <c r="CM6" i="6"/>
  <c r="CM6" i="9"/>
  <c r="CM6" i="7"/>
  <c r="CM6" i="8"/>
  <c r="CM10" i="11"/>
  <c r="CM11" i="11"/>
  <c r="CF2" i="15" s="1"/>
  <c r="CM13" i="11"/>
  <c r="CM23" i="11"/>
  <c r="CF8" i="15" s="1"/>
  <c r="CM25" i="11"/>
  <c r="CM16" i="11"/>
  <c r="CM17" i="11"/>
  <c r="CF5" i="15" s="1"/>
  <c r="CM29" i="11"/>
  <c r="CF11" i="15" s="1"/>
  <c r="CM31" i="11"/>
  <c r="CM34" i="11"/>
  <c r="CM28" i="11"/>
  <c r="CM37" i="11"/>
  <c r="CM47" i="11"/>
  <c r="CF20" i="15" s="1"/>
  <c r="CM49" i="11"/>
  <c r="CM22" i="11"/>
  <c r="CM35" i="11"/>
  <c r="CF14" i="15" s="1"/>
  <c r="CM40" i="11"/>
  <c r="CM7" i="11"/>
  <c r="CM19" i="11"/>
  <c r="CM41" i="11"/>
  <c r="CF17" i="15" s="1"/>
  <c r="CM43" i="11"/>
  <c r="CM58" i="11"/>
  <c r="CM70" i="11"/>
  <c r="CM59" i="11"/>
  <c r="CF26" i="15" s="1"/>
  <c r="CM61" i="11"/>
  <c r="CM71" i="11"/>
  <c r="CF32" i="15" s="1"/>
  <c r="CM73" i="11"/>
  <c r="CM83" i="11"/>
  <c r="CF38" i="15" s="1"/>
  <c r="CM46" i="11"/>
  <c r="CM64" i="11"/>
  <c r="CM76" i="11"/>
  <c r="CM52" i="11"/>
  <c r="CM53" i="11"/>
  <c r="CF23" i="15" s="1"/>
  <c r="CM55" i="11"/>
  <c r="CM65" i="11"/>
  <c r="CF29" i="15" s="1"/>
  <c r="CM67" i="11"/>
  <c r="CM77" i="11"/>
  <c r="CF35" i="15" s="1"/>
  <c r="CM79" i="11"/>
  <c r="CM13" i="12"/>
  <c r="CM82" i="11"/>
  <c r="CG6" i="3"/>
  <c r="CG6" i="4"/>
  <c r="CG6" i="5"/>
  <c r="CG6" i="6"/>
  <c r="CG6" i="7"/>
  <c r="CG6" i="8"/>
  <c r="CG6" i="9"/>
  <c r="CG7" i="11"/>
  <c r="CG17" i="11"/>
  <c r="BZ5" i="15" s="1"/>
  <c r="CG19" i="11"/>
  <c r="CG10" i="11"/>
  <c r="CG22" i="11"/>
  <c r="CG11" i="11"/>
  <c r="BZ2" i="15" s="1"/>
  <c r="CG13" i="11"/>
  <c r="CG35" i="11"/>
  <c r="BZ14" i="15"/>
  <c r="CG37" i="11"/>
  <c r="CG23" i="11"/>
  <c r="BZ8" i="15" s="1"/>
  <c r="CG25" i="11"/>
  <c r="CG28" i="11"/>
  <c r="CG16" i="11"/>
  <c r="CG34" i="11"/>
  <c r="CG41" i="11"/>
  <c r="BZ17" i="15" s="1"/>
  <c r="CG43" i="11"/>
  <c r="CG29" i="11"/>
  <c r="BZ11" i="15"/>
  <c r="CG31" i="11"/>
  <c r="CG40" i="11"/>
  <c r="CG52" i="11"/>
  <c r="CG64" i="11"/>
  <c r="CG76" i="11"/>
  <c r="CG53" i="11"/>
  <c r="BZ23" i="15" s="1"/>
  <c r="CG55" i="11"/>
  <c r="CG65" i="11"/>
  <c r="BZ29" i="15" s="1"/>
  <c r="CG67" i="11"/>
  <c r="CG77" i="11"/>
  <c r="BZ35" i="15" s="1"/>
  <c r="CG79" i="11"/>
  <c r="CG46" i="11"/>
  <c r="CG58" i="11"/>
  <c r="CG70" i="11"/>
  <c r="CG47" i="11"/>
  <c r="BZ20" i="15" s="1"/>
  <c r="CG49" i="11"/>
  <c r="CG59" i="11"/>
  <c r="BZ26" i="15" s="1"/>
  <c r="CG61" i="11"/>
  <c r="CG71" i="11"/>
  <c r="BZ32" i="15" s="1"/>
  <c r="CG73" i="11"/>
  <c r="CG83" i="11"/>
  <c r="BZ38" i="15"/>
  <c r="CG13" i="12"/>
  <c r="CG82" i="11"/>
  <c r="CF6" i="3"/>
  <c r="CF6" i="4"/>
  <c r="CF6" i="5"/>
  <c r="CF6" i="6"/>
  <c r="CF6" i="7"/>
  <c r="CF6" i="8"/>
  <c r="CF6" i="9"/>
  <c r="CF11" i="11"/>
  <c r="BY2" i="15" s="1"/>
  <c r="CF13" i="11"/>
  <c r="CF16" i="11"/>
  <c r="CF7" i="11"/>
  <c r="CF17" i="11"/>
  <c r="BY5" i="15" s="1"/>
  <c r="CF19" i="11"/>
  <c r="CF10" i="11"/>
  <c r="CF34" i="11"/>
  <c r="CF22" i="11"/>
  <c r="CF35" i="11"/>
  <c r="BY14" i="15" s="1"/>
  <c r="CF37" i="11"/>
  <c r="CF23" i="11"/>
  <c r="BY8" i="15" s="1"/>
  <c r="CF29" i="11"/>
  <c r="BY11" i="15" s="1"/>
  <c r="CF31" i="11"/>
  <c r="CF40" i="11"/>
  <c r="CF52" i="11"/>
  <c r="CF25" i="11"/>
  <c r="CF41" i="11"/>
  <c r="BY17" i="15" s="1"/>
  <c r="CF43" i="11"/>
  <c r="CF28" i="11"/>
  <c r="CF47" i="11"/>
  <c r="BY20" i="15" s="1"/>
  <c r="CF49" i="11"/>
  <c r="CF59" i="11"/>
  <c r="BY26" i="15" s="1"/>
  <c r="CF61" i="11"/>
  <c r="CF71" i="11"/>
  <c r="BY32" i="15" s="1"/>
  <c r="CF73" i="11"/>
  <c r="CF64" i="11"/>
  <c r="CF76" i="11"/>
  <c r="CF53" i="11"/>
  <c r="BY23" i="15" s="1"/>
  <c r="CF55" i="11"/>
  <c r="CF65" i="11"/>
  <c r="BY29" i="15" s="1"/>
  <c r="CF67" i="11"/>
  <c r="CF77" i="11"/>
  <c r="BY35" i="15" s="1"/>
  <c r="CF79" i="11"/>
  <c r="CF46" i="11"/>
  <c r="CF58" i="11"/>
  <c r="CF70" i="11"/>
  <c r="CF82" i="11"/>
  <c r="CF13" i="12"/>
  <c r="CF83" i="11"/>
  <c r="BY38" i="15" s="1"/>
  <c r="O14" i="12"/>
  <c r="P14" i="12" s="1"/>
  <c r="Q14" i="12" s="1"/>
  <c r="R14" i="12" s="1"/>
  <c r="S14" i="12" s="1"/>
  <c r="T14" i="12" s="1"/>
  <c r="U14" i="12" s="1"/>
  <c r="V14" i="12" s="1"/>
  <c r="W14" i="12" s="1"/>
  <c r="X14" i="12" s="1"/>
  <c r="Y14" i="12" s="1"/>
  <c r="Z14" i="12" s="1"/>
  <c r="N14" i="12"/>
  <c r="DM6" i="5"/>
  <c r="DM6" i="8"/>
  <c r="DM10" i="11"/>
  <c r="DM35" i="11"/>
  <c r="DD14" i="15" s="1"/>
  <c r="DM34" i="11"/>
  <c r="DM43" i="11"/>
  <c r="DM40" i="11"/>
  <c r="DM67" i="11"/>
  <c r="DM46" i="11"/>
  <c r="DM59" i="11"/>
  <c r="DD26" i="15" s="1"/>
  <c r="DM83" i="11"/>
  <c r="DD38" i="15" s="1"/>
  <c r="DF6" i="3"/>
  <c r="DF6" i="4"/>
  <c r="DF6" i="5"/>
  <c r="DF6" i="6"/>
  <c r="DF6" i="9"/>
  <c r="DF6" i="7"/>
  <c r="DF6" i="8"/>
  <c r="DF7" i="11"/>
  <c r="DF10" i="11"/>
  <c r="DF22" i="11"/>
  <c r="DF11" i="11"/>
  <c r="CW2" i="15" s="1"/>
  <c r="DF13" i="11"/>
  <c r="DF23" i="11"/>
  <c r="CW8" i="15" s="1"/>
  <c r="DF25" i="11"/>
  <c r="DF28" i="11"/>
  <c r="DF16" i="11"/>
  <c r="DF19" i="11"/>
  <c r="DF29" i="11"/>
  <c r="CW11" i="15"/>
  <c r="DF31" i="11"/>
  <c r="DF35" i="11"/>
  <c r="CW14" i="15" s="1"/>
  <c r="DF46" i="11"/>
  <c r="DF40" i="11"/>
  <c r="DF17" i="11"/>
  <c r="CW5" i="15" s="1"/>
  <c r="DF34" i="11"/>
  <c r="DF37" i="11"/>
  <c r="DF41" i="11"/>
  <c r="CW17" i="15" s="1"/>
  <c r="DF43" i="11"/>
  <c r="DF47" i="11"/>
  <c r="CW20" i="15" s="1"/>
  <c r="DF49" i="11"/>
  <c r="DF53" i="11"/>
  <c r="CW23" i="15" s="1"/>
  <c r="DF55" i="11"/>
  <c r="DF65" i="11"/>
  <c r="CW29" i="15" s="1"/>
  <c r="DF67" i="11"/>
  <c r="DF77" i="11"/>
  <c r="CW35" i="15" s="1"/>
  <c r="DF79" i="11"/>
  <c r="DF58" i="11"/>
  <c r="DF70" i="11"/>
  <c r="DF82" i="11"/>
  <c r="DF13" i="12"/>
  <c r="DF59" i="11"/>
  <c r="CW26" i="15" s="1"/>
  <c r="DF61" i="11"/>
  <c r="DF71" i="11"/>
  <c r="CW32" i="15" s="1"/>
  <c r="DF73" i="11"/>
  <c r="DF52" i="11"/>
  <c r="DF64" i="11"/>
  <c r="DF76" i="11"/>
  <c r="DF83" i="11"/>
  <c r="CW38" i="15" s="1"/>
  <c r="CR6" i="3"/>
  <c r="CR6" i="4"/>
  <c r="CR6" i="5"/>
  <c r="CR6" i="6"/>
  <c r="CR6" i="7"/>
  <c r="CR6" i="8"/>
  <c r="CR6" i="9"/>
  <c r="CR11" i="11"/>
  <c r="CJ2" i="15" s="1"/>
  <c r="CR13" i="11"/>
  <c r="CR16" i="11"/>
  <c r="CR7" i="11"/>
  <c r="CR17" i="11"/>
  <c r="CJ5" i="15" s="1"/>
  <c r="CR19" i="11"/>
  <c r="CR22" i="11"/>
  <c r="CR10" i="11"/>
  <c r="CR23" i="11"/>
  <c r="CJ8" i="15" s="1"/>
  <c r="CR25" i="11"/>
  <c r="CR34" i="11"/>
  <c r="CR35" i="11"/>
  <c r="CJ14" i="15" s="1"/>
  <c r="CR37" i="11"/>
  <c r="CR40" i="11"/>
  <c r="CR52" i="11"/>
  <c r="CR28" i="11"/>
  <c r="CR41" i="11"/>
  <c r="CJ17" i="15" s="1"/>
  <c r="CR43" i="11"/>
  <c r="CR29" i="11"/>
  <c r="CJ11" i="15" s="1"/>
  <c r="CR31" i="11"/>
  <c r="CR59" i="11"/>
  <c r="CJ26" i="15" s="1"/>
  <c r="CR61" i="11"/>
  <c r="CR71" i="11"/>
  <c r="CJ32" i="15" s="1"/>
  <c r="CR73" i="11"/>
  <c r="CR64" i="11"/>
  <c r="CR76" i="11"/>
  <c r="CR46" i="11"/>
  <c r="CR53" i="11"/>
  <c r="CJ23" i="15" s="1"/>
  <c r="CR55" i="11"/>
  <c r="CR65" i="11"/>
  <c r="CJ29" i="15" s="1"/>
  <c r="CR67" i="11"/>
  <c r="CR77" i="11"/>
  <c r="CJ35" i="15" s="1"/>
  <c r="CR79" i="11"/>
  <c r="CR47" i="11"/>
  <c r="CJ20" i="15" s="1"/>
  <c r="CR49" i="11"/>
  <c r="CR58" i="11"/>
  <c r="CR70" i="11"/>
  <c r="CR82" i="11"/>
  <c r="CR13" i="12"/>
  <c r="CR83" i="11"/>
  <c r="CJ38" i="15" s="1"/>
  <c r="CL6" i="3"/>
  <c r="CL6" i="4"/>
  <c r="CL6" i="5"/>
  <c r="CL6" i="6"/>
  <c r="CL6" i="9"/>
  <c r="CL6" i="7"/>
  <c r="CL6" i="8"/>
  <c r="CL7" i="11"/>
  <c r="CL10" i="11"/>
  <c r="CL22" i="11"/>
  <c r="CL11" i="11"/>
  <c r="CE2" i="15" s="1"/>
  <c r="CL13" i="11"/>
  <c r="CL23" i="11"/>
  <c r="CE8" i="15" s="1"/>
  <c r="CL25" i="11"/>
  <c r="CL16" i="11"/>
  <c r="CL19" i="11"/>
  <c r="CL17" i="11"/>
  <c r="CE5" i="15" s="1"/>
  <c r="CL28" i="11"/>
  <c r="CL29" i="11"/>
  <c r="CE11" i="15" s="1"/>
  <c r="CL31" i="11"/>
  <c r="CL46" i="11"/>
  <c r="CL34" i="11"/>
  <c r="CL37" i="11"/>
  <c r="CL35" i="11"/>
  <c r="CE14" i="15" s="1"/>
  <c r="CL40" i="11"/>
  <c r="CL41" i="11"/>
  <c r="CE17" i="15" s="1"/>
  <c r="CL43" i="11"/>
  <c r="CL52" i="11"/>
  <c r="CL53" i="11"/>
  <c r="CE23" i="15" s="1"/>
  <c r="CL55" i="11"/>
  <c r="CL65" i="11"/>
  <c r="CE29" i="15" s="1"/>
  <c r="CL67" i="11"/>
  <c r="CL77" i="11"/>
  <c r="CE35" i="15" s="1"/>
  <c r="CL79" i="11"/>
  <c r="CL58" i="11"/>
  <c r="CL70" i="11"/>
  <c r="CL82" i="11"/>
  <c r="CL13" i="12"/>
  <c r="CL59" i="11"/>
  <c r="CE26" i="15"/>
  <c r="CL61" i="11"/>
  <c r="CL71" i="11"/>
  <c r="CE32" i="15" s="1"/>
  <c r="CL73" i="11"/>
  <c r="CL47" i="11"/>
  <c r="CE20" i="15" s="1"/>
  <c r="CL49" i="11"/>
  <c r="CL64" i="11"/>
  <c r="CL76" i="11"/>
  <c r="CL83" i="11"/>
  <c r="CE38" i="15" s="1"/>
  <c r="BX6" i="3"/>
  <c r="BX6" i="4"/>
  <c r="BX6" i="5"/>
  <c r="BX6" i="6"/>
  <c r="BX6" i="7"/>
  <c r="BX6" i="8"/>
  <c r="BX6" i="9"/>
  <c r="BX11" i="11"/>
  <c r="BR2" i="15" s="1"/>
  <c r="BX13" i="11"/>
  <c r="BX16" i="11"/>
  <c r="BX7" i="11"/>
  <c r="BX17" i="11"/>
  <c r="BR5" i="15" s="1"/>
  <c r="BX19" i="11"/>
  <c r="BX34" i="11"/>
  <c r="BX10" i="11"/>
  <c r="BX22" i="11"/>
  <c r="BX35" i="11"/>
  <c r="BR14" i="15" s="1"/>
  <c r="BX37" i="11"/>
  <c r="BX29" i="11"/>
  <c r="BR11" i="15" s="1"/>
  <c r="BX31" i="11"/>
  <c r="BX40" i="11"/>
  <c r="BX52" i="11"/>
  <c r="BX23" i="11"/>
  <c r="BR8" i="15" s="1"/>
  <c r="BX41" i="11"/>
  <c r="BR17" i="15" s="1"/>
  <c r="BX43" i="11"/>
  <c r="BX25" i="11"/>
  <c r="BX28" i="11"/>
  <c r="BX59" i="11"/>
  <c r="BR26" i="15" s="1"/>
  <c r="BX61" i="11"/>
  <c r="BX71" i="11"/>
  <c r="BR32" i="15" s="1"/>
  <c r="BX73" i="11"/>
  <c r="BX46" i="11"/>
  <c r="BX64" i="11"/>
  <c r="BX76" i="11"/>
  <c r="BX47" i="11"/>
  <c r="BR20" i="15" s="1"/>
  <c r="BX49" i="11"/>
  <c r="BX53" i="11"/>
  <c r="BR23" i="15" s="1"/>
  <c r="BX55" i="11"/>
  <c r="BX65" i="11"/>
  <c r="BR29" i="15" s="1"/>
  <c r="BX67" i="11"/>
  <c r="BX77" i="11"/>
  <c r="BR35" i="15" s="1"/>
  <c r="BX79" i="11"/>
  <c r="BX58" i="11"/>
  <c r="BX70" i="11"/>
  <c r="BX82" i="11"/>
  <c r="BX13" i="12"/>
  <c r="BX83" i="11"/>
  <c r="BR38" i="15" s="1"/>
  <c r="BR6" i="3"/>
  <c r="BR6" i="4"/>
  <c r="BR6" i="5"/>
  <c r="BR6" i="6"/>
  <c r="BR6" i="9"/>
  <c r="BR6" i="7"/>
  <c r="BR6" i="8"/>
  <c r="BR7" i="11"/>
  <c r="BR10" i="11"/>
  <c r="BR22" i="11"/>
  <c r="BR11" i="11"/>
  <c r="BL2" i="15" s="1"/>
  <c r="BR13" i="11"/>
  <c r="BR23" i="11"/>
  <c r="BL8" i="15" s="1"/>
  <c r="BR25" i="11"/>
  <c r="BR28" i="11"/>
  <c r="BR16" i="11"/>
  <c r="BR19" i="11"/>
  <c r="BR29" i="11"/>
  <c r="BL11" i="15" s="1"/>
  <c r="BR31" i="11"/>
  <c r="BR17" i="11"/>
  <c r="BL5" i="15" s="1"/>
  <c r="BR35" i="11"/>
  <c r="BL14" i="15" s="1"/>
  <c r="BR46" i="11"/>
  <c r="BR40" i="11"/>
  <c r="BR34" i="11"/>
  <c r="BR37" i="11"/>
  <c r="BR41" i="11"/>
  <c r="BL17" i="15" s="1"/>
  <c r="BR43" i="11"/>
  <c r="BR53" i="11"/>
  <c r="BL23" i="15"/>
  <c r="BR55" i="11"/>
  <c r="BR65" i="11"/>
  <c r="BL29" i="15" s="1"/>
  <c r="BR67" i="11"/>
  <c r="BR77" i="11"/>
  <c r="BL35" i="15" s="1"/>
  <c r="BR79" i="11"/>
  <c r="BR58" i="11"/>
  <c r="BR70" i="11"/>
  <c r="BR82" i="11"/>
  <c r="BR13" i="12"/>
  <c r="BR47" i="11"/>
  <c r="BL20" i="15" s="1"/>
  <c r="BR49" i="11"/>
  <c r="BR59" i="11"/>
  <c r="BL26" i="15" s="1"/>
  <c r="BR61" i="11"/>
  <c r="BR71" i="11"/>
  <c r="BL32" i="15" s="1"/>
  <c r="BR73" i="11"/>
  <c r="BR52" i="11"/>
  <c r="BR64" i="11"/>
  <c r="BR76" i="11"/>
  <c r="BR83" i="11"/>
  <c r="BL38" i="15" s="1"/>
  <c r="BP6" i="4"/>
  <c r="BP6" i="6"/>
  <c r="BP11" i="11"/>
  <c r="BJ2" i="15" s="1"/>
  <c r="BP13" i="11"/>
  <c r="BP7" i="11"/>
  <c r="BP34" i="11"/>
  <c r="BP35" i="11"/>
  <c r="BJ14" i="15" s="1"/>
  <c r="BP29" i="11"/>
  <c r="BJ11" i="15" s="1"/>
  <c r="BP52" i="11"/>
  <c r="BP43" i="11"/>
  <c r="BP25" i="11"/>
  <c r="BP59" i="11"/>
  <c r="BJ26" i="15" s="1"/>
  <c r="BP71" i="11"/>
  <c r="BJ32" i="15" s="1"/>
  <c r="BP73" i="11"/>
  <c r="BP55" i="11"/>
  <c r="BP67" i="11"/>
  <c r="BP79" i="11"/>
  <c r="BP82" i="11"/>
  <c r="BP83" i="11"/>
  <c r="BJ38" i="15" s="1"/>
  <c r="BO6" i="3"/>
  <c r="BO6" i="4"/>
  <c r="BO6" i="5"/>
  <c r="BO6" i="6"/>
  <c r="BO6" i="9"/>
  <c r="BO6" i="7"/>
  <c r="BO6" i="8"/>
  <c r="BO10" i="11"/>
  <c r="BO11" i="11"/>
  <c r="BI2" i="15" s="1"/>
  <c r="CA11" i="11"/>
  <c r="BO13" i="11"/>
  <c r="BO23" i="11"/>
  <c r="BI8" i="15" s="1"/>
  <c r="CA23" i="11"/>
  <c r="BO25" i="11"/>
  <c r="BO16" i="11"/>
  <c r="BO17" i="11"/>
  <c r="BI5" i="15" s="1"/>
  <c r="BO7" i="11"/>
  <c r="BO29" i="11"/>
  <c r="BI11" i="15" s="1"/>
  <c r="CA29" i="11"/>
  <c r="BO31" i="11"/>
  <c r="CA17" i="11"/>
  <c r="BO34" i="11"/>
  <c r="BO22" i="11"/>
  <c r="BO28" i="11"/>
  <c r="BO37" i="11"/>
  <c r="BO47" i="11"/>
  <c r="BI20" i="15" s="1"/>
  <c r="CA47" i="11"/>
  <c r="BO49" i="11"/>
  <c r="BO19" i="11"/>
  <c r="BO35" i="11"/>
  <c r="BI14" i="15" s="1"/>
  <c r="BO40" i="11"/>
  <c r="BO41" i="11"/>
  <c r="BI17" i="15" s="1"/>
  <c r="CA41" i="11"/>
  <c r="BO43" i="11"/>
  <c r="CA35" i="11"/>
  <c r="BO46" i="11"/>
  <c r="BO58" i="11"/>
  <c r="BO70" i="11"/>
  <c r="BO52" i="11"/>
  <c r="BO59" i="11"/>
  <c r="BI26" i="15" s="1"/>
  <c r="CA59" i="11"/>
  <c r="BO61" i="11"/>
  <c r="BO71" i="11"/>
  <c r="BI32" i="15" s="1"/>
  <c r="CA71" i="11"/>
  <c r="BO73" i="11"/>
  <c r="BO83" i="11"/>
  <c r="BI38" i="15" s="1"/>
  <c r="CA83" i="11"/>
  <c r="BO64" i="11"/>
  <c r="BO76" i="11"/>
  <c r="BO53" i="11"/>
  <c r="BI23" i="15"/>
  <c r="CA53" i="11"/>
  <c r="BO55" i="11"/>
  <c r="BO65" i="11"/>
  <c r="BI29" i="15"/>
  <c r="CA65" i="11"/>
  <c r="BO67" i="11"/>
  <c r="BO77" i="11"/>
  <c r="BI35" i="15"/>
  <c r="CA77" i="11"/>
  <c r="BO79" i="11"/>
  <c r="BO13" i="12"/>
  <c r="BO82" i="11"/>
  <c r="EH6" i="6"/>
  <c r="EH22" i="11"/>
  <c r="EH16" i="11"/>
  <c r="EH29" i="11"/>
  <c r="DW11" i="15" s="1"/>
  <c r="EH40" i="11"/>
  <c r="EH77" i="11"/>
  <c r="DW35" i="15" s="1"/>
  <c r="EH70" i="11"/>
  <c r="EH73" i="11"/>
  <c r="EH76" i="11"/>
  <c r="DR6" i="3"/>
  <c r="DR6" i="5"/>
  <c r="DR6" i="8"/>
  <c r="DR10" i="11"/>
  <c r="DR11" i="11"/>
  <c r="DH2" i="15" s="1"/>
  <c r="DR16" i="11"/>
  <c r="DR17" i="11"/>
  <c r="DH5" i="15" s="1"/>
  <c r="DR28" i="11"/>
  <c r="DR34" i="11"/>
  <c r="DR35" i="11"/>
  <c r="DH14" i="15" s="1"/>
  <c r="DR41" i="11"/>
  <c r="DH17" i="15" s="1"/>
  <c r="DR55" i="11"/>
  <c r="DR67" i="11"/>
  <c r="DR79" i="11"/>
  <c r="DR13" i="12"/>
  <c r="DR61" i="11"/>
  <c r="DR71" i="11"/>
  <c r="DH32" i="15" s="1"/>
  <c r="DR73" i="11"/>
  <c r="DR43" i="11"/>
  <c r="DR47" i="11"/>
  <c r="DH20" i="15" s="1"/>
  <c r="DR49" i="11"/>
  <c r="DR52" i="11"/>
  <c r="DR64" i="11"/>
  <c r="DR83" i="11"/>
  <c r="DH38" i="15" s="1"/>
  <c r="DL6" i="3"/>
  <c r="DL6" i="5"/>
  <c r="DL6" i="6"/>
  <c r="DL6" i="7"/>
  <c r="DL6" i="9"/>
  <c r="DL11" i="11"/>
  <c r="DC2" i="15" s="1"/>
  <c r="DL13" i="11"/>
  <c r="DL7" i="11"/>
  <c r="DL17" i="11"/>
  <c r="DC5" i="15" s="1"/>
  <c r="DL19" i="11"/>
  <c r="DL34" i="11"/>
  <c r="DL22" i="11"/>
  <c r="DL35" i="11"/>
  <c r="DC14" i="15" s="1"/>
  <c r="DL23" i="11"/>
  <c r="DC8" i="15" s="1"/>
  <c r="DL29" i="11"/>
  <c r="DC11" i="15" s="1"/>
  <c r="DL31" i="11"/>
  <c r="DL25" i="11"/>
  <c r="DL41" i="11"/>
  <c r="DC17" i="15" s="1"/>
  <c r="DL43" i="11"/>
  <c r="DL47" i="11"/>
  <c r="DC20" i="15" s="1"/>
  <c r="DL49" i="11"/>
  <c r="DL59" i="11"/>
  <c r="DC26" i="15" s="1"/>
  <c r="DL71" i="11"/>
  <c r="DC32" i="15" s="1"/>
  <c r="DL73" i="11"/>
  <c r="DL64" i="11"/>
  <c r="DL76" i="11"/>
  <c r="DL53" i="11"/>
  <c r="DC23" i="15" s="1"/>
  <c r="DL55" i="11"/>
  <c r="DL65" i="11"/>
  <c r="DC29" i="15" s="1"/>
  <c r="DL67" i="11"/>
  <c r="DL79" i="11"/>
  <c r="DL46" i="11"/>
  <c r="DL58" i="11"/>
  <c r="DL82" i="11"/>
  <c r="DL13" i="12"/>
  <c r="DL83" i="11"/>
  <c r="DC38" i="15" s="1"/>
  <c r="CW6" i="3"/>
  <c r="CW6" i="4"/>
  <c r="CW6" i="5"/>
  <c r="CW6" i="6"/>
  <c r="CW6" i="7"/>
  <c r="CW6" i="8"/>
  <c r="CW6" i="9"/>
  <c r="CW7" i="11"/>
  <c r="CW17" i="11"/>
  <c r="CO5" i="15" s="1"/>
  <c r="CW19" i="11"/>
  <c r="CW10" i="11"/>
  <c r="CW22" i="11"/>
  <c r="CW11" i="11"/>
  <c r="CO2" i="15" s="1"/>
  <c r="CW13" i="11"/>
  <c r="CW35" i="11"/>
  <c r="CO14" i="15"/>
  <c r="CW37" i="11"/>
  <c r="CW23" i="11"/>
  <c r="CO8" i="15" s="1"/>
  <c r="CW25" i="11"/>
  <c r="CW28" i="11"/>
  <c r="CW34" i="11"/>
  <c r="CW41" i="11"/>
  <c r="CO17" i="15" s="1"/>
  <c r="CW43" i="11"/>
  <c r="CW16" i="11"/>
  <c r="CW29" i="11"/>
  <c r="CO11" i="15" s="1"/>
  <c r="CW31" i="11"/>
  <c r="CW40" i="11"/>
  <c r="CW52" i="11"/>
  <c r="CW64" i="11"/>
  <c r="CW76" i="11"/>
  <c r="CW53" i="11"/>
  <c r="CO23" i="15" s="1"/>
  <c r="CW55" i="11"/>
  <c r="CW65" i="11"/>
  <c r="CO29" i="15"/>
  <c r="CW67" i="11"/>
  <c r="CW77" i="11"/>
  <c r="CO35" i="15" s="1"/>
  <c r="CW79" i="11"/>
  <c r="CW46" i="11"/>
  <c r="CW58" i="11"/>
  <c r="CW70" i="11"/>
  <c r="CW47" i="11"/>
  <c r="CO20" i="15" s="1"/>
  <c r="CW49" i="11"/>
  <c r="CW59" i="11"/>
  <c r="CO26" i="15"/>
  <c r="CW61" i="11"/>
  <c r="CW71" i="11"/>
  <c r="CO32" i="15" s="1"/>
  <c r="CW73" i="11"/>
  <c r="CW83" i="11"/>
  <c r="CO38" i="15" s="1"/>
  <c r="CW13" i="12"/>
  <c r="CW82" i="11"/>
  <c r="CQ6" i="3"/>
  <c r="CQ6" i="4"/>
  <c r="CQ6" i="5"/>
  <c r="CQ6" i="6"/>
  <c r="CQ6" i="9"/>
  <c r="CQ6" i="7"/>
  <c r="CQ6" i="8"/>
  <c r="CQ10" i="11"/>
  <c r="CQ11" i="11"/>
  <c r="CI2" i="15" s="1"/>
  <c r="CQ13" i="11"/>
  <c r="CQ23" i="11"/>
  <c r="CI8" i="15" s="1"/>
  <c r="CQ25" i="11"/>
  <c r="CQ16" i="11"/>
  <c r="CQ19" i="11"/>
  <c r="CQ22" i="11"/>
  <c r="CQ29" i="11"/>
  <c r="CI11" i="15" s="1"/>
  <c r="CQ31" i="11"/>
  <c r="CQ7" i="11"/>
  <c r="CQ17" i="11"/>
  <c r="CI5" i="15" s="1"/>
  <c r="CQ34" i="11"/>
  <c r="CQ47" i="11"/>
  <c r="CI20" i="15"/>
  <c r="CQ49" i="11"/>
  <c r="CQ40" i="11"/>
  <c r="CQ28" i="11"/>
  <c r="CQ37" i="11"/>
  <c r="CQ41" i="11"/>
  <c r="CI17" i="15"/>
  <c r="CQ43" i="11"/>
  <c r="CQ35" i="11"/>
  <c r="CI14" i="15" s="1"/>
  <c r="CQ52" i="11"/>
  <c r="CQ58" i="11"/>
  <c r="CQ70" i="11"/>
  <c r="CQ59" i="11"/>
  <c r="CI26" i="15" s="1"/>
  <c r="CQ61" i="11"/>
  <c r="CQ71" i="11"/>
  <c r="CI32" i="15" s="1"/>
  <c r="CQ73" i="11"/>
  <c r="CQ83" i="11"/>
  <c r="CI38" i="15" s="1"/>
  <c r="CQ64" i="11"/>
  <c r="CQ76" i="11"/>
  <c r="CQ46" i="11"/>
  <c r="CQ53" i="11"/>
  <c r="CI23" i="15" s="1"/>
  <c r="CQ55" i="11"/>
  <c r="CQ65" i="11"/>
  <c r="CI29" i="15" s="1"/>
  <c r="CQ67" i="11"/>
  <c r="CQ77" i="11"/>
  <c r="CI35" i="15" s="1"/>
  <c r="CQ79" i="11"/>
  <c r="CQ13" i="12"/>
  <c r="CQ82" i="11"/>
  <c r="BW6" i="3"/>
  <c r="BW6" i="4"/>
  <c r="BW6" i="5"/>
  <c r="BW6" i="6"/>
  <c r="BW6" i="9"/>
  <c r="BW6" i="7"/>
  <c r="BW6" i="8"/>
  <c r="BW10" i="11"/>
  <c r="BW11" i="11"/>
  <c r="BQ2" i="15"/>
  <c r="BW13" i="11"/>
  <c r="BW23" i="11"/>
  <c r="BQ8" i="15" s="1"/>
  <c r="BW25" i="11"/>
  <c r="BW16" i="11"/>
  <c r="BW17" i="11"/>
  <c r="BQ5" i="15" s="1"/>
  <c r="BW29" i="11"/>
  <c r="BQ11" i="15" s="1"/>
  <c r="BW31" i="11"/>
  <c r="BW34" i="11"/>
  <c r="BW19" i="11"/>
  <c r="BW28" i="11"/>
  <c r="BW37" i="11"/>
  <c r="BW47" i="11"/>
  <c r="BQ20" i="15" s="1"/>
  <c r="BW49" i="11"/>
  <c r="BW35" i="11"/>
  <c r="BQ14" i="15" s="1"/>
  <c r="BW40" i="11"/>
  <c r="BW41" i="11"/>
  <c r="BQ17" i="15"/>
  <c r="BW43" i="11"/>
  <c r="BW7" i="11"/>
  <c r="BW22" i="11"/>
  <c r="BW58" i="11"/>
  <c r="BW70" i="11"/>
  <c r="BW59" i="11"/>
  <c r="BQ26" i="15" s="1"/>
  <c r="BW61" i="11"/>
  <c r="BW71" i="11"/>
  <c r="BQ32" i="15" s="1"/>
  <c r="BW73" i="11"/>
  <c r="BW83" i="11"/>
  <c r="BQ38" i="15" s="1"/>
  <c r="BW46" i="11"/>
  <c r="BW64" i="11"/>
  <c r="BW76" i="11"/>
  <c r="BW52" i="11"/>
  <c r="BW53" i="11"/>
  <c r="BQ23" i="15" s="1"/>
  <c r="BW55" i="11"/>
  <c r="BW65" i="11"/>
  <c r="BQ29" i="15" s="1"/>
  <c r="BW67" i="11"/>
  <c r="BW77" i="11"/>
  <c r="BQ35" i="15" s="1"/>
  <c r="BW79" i="11"/>
  <c r="BW13" i="12"/>
  <c r="BW82" i="11"/>
  <c r="BM6" i="3"/>
  <c r="BM6" i="4"/>
  <c r="BM6" i="5"/>
  <c r="BM6" i="7"/>
  <c r="BM6" i="8"/>
  <c r="BM6" i="9"/>
  <c r="BM17" i="11"/>
  <c r="BH5" i="15"/>
  <c r="BM19" i="11"/>
  <c r="BM22" i="11"/>
  <c r="BM23" i="11"/>
  <c r="BH8" i="15" s="1"/>
  <c r="BM25" i="11"/>
  <c r="BM13" i="11"/>
  <c r="BM16" i="11"/>
  <c r="BM35" i="11"/>
  <c r="BH14" i="15" s="1"/>
  <c r="BM28" i="11"/>
  <c r="BM41" i="11"/>
  <c r="BH17" i="15" s="1"/>
  <c r="BM43" i="11"/>
  <c r="BM31" i="11"/>
  <c r="BM34" i="11"/>
  <c r="BM40" i="11"/>
  <c r="BM76" i="11"/>
  <c r="BM46" i="11"/>
  <c r="BM53" i="11"/>
  <c r="BH23" i="15" s="1"/>
  <c r="BM65" i="11"/>
  <c r="BH29" i="15" s="1"/>
  <c r="BM67" i="11"/>
  <c r="BM77" i="11"/>
  <c r="BH35" i="15" s="1"/>
  <c r="BM47" i="11"/>
  <c r="BH20" i="15" s="1"/>
  <c r="BM49" i="11"/>
  <c r="BM70" i="11"/>
  <c r="BM52" i="11"/>
  <c r="BM59" i="11"/>
  <c r="BH26" i="15" s="1"/>
  <c r="BM61" i="11"/>
  <c r="BM71" i="11"/>
  <c r="BH32" i="15" s="1"/>
  <c r="BM73" i="11"/>
  <c r="BM82" i="11"/>
  <c r="BM13" i="12"/>
  <c r="EJ14" i="11"/>
  <c r="DY6" i="15" s="1"/>
  <c r="EJ32" i="11"/>
  <c r="DY15" i="15" s="1"/>
  <c r="EJ26" i="11"/>
  <c r="DY12" i="15" s="1"/>
  <c r="EJ38" i="11"/>
  <c r="DY18" i="15" s="1"/>
  <c r="EJ50" i="11"/>
  <c r="DY24" i="15" s="1"/>
  <c r="EJ8" i="11"/>
  <c r="DY3" i="15" s="1"/>
  <c r="EJ20" i="11"/>
  <c r="DY9" i="15" s="1"/>
  <c r="EJ44" i="11"/>
  <c r="DY21" i="15" s="1"/>
  <c r="EJ62" i="11"/>
  <c r="DY30" i="15" s="1"/>
  <c r="EJ74" i="11"/>
  <c r="DY36" i="15" s="1"/>
  <c r="EJ56" i="11"/>
  <c r="DY27" i="15" s="1"/>
  <c r="EJ68" i="11"/>
  <c r="DY33" i="15" s="1"/>
  <c r="EJ80" i="11"/>
  <c r="DY39" i="15" s="1"/>
  <c r="EI20" i="11"/>
  <c r="DX9" i="15" s="1"/>
  <c r="EI38" i="11"/>
  <c r="DX18" i="15" s="1"/>
  <c r="EI68" i="11"/>
  <c r="DX33" i="15" s="1"/>
  <c r="EI74" i="11"/>
  <c r="DX36" i="15" s="1"/>
  <c r="ED8" i="11"/>
  <c r="DS3" i="15" s="1"/>
  <c r="ED20" i="11"/>
  <c r="DS9" i="15" s="1"/>
  <c r="ED14" i="11"/>
  <c r="DS6" i="15" s="1"/>
  <c r="ED26" i="11"/>
  <c r="DS12" i="15" s="1"/>
  <c r="ED44" i="11"/>
  <c r="DS21" i="15" s="1"/>
  <c r="ED38" i="11"/>
  <c r="DS18" i="15" s="1"/>
  <c r="ED32" i="11"/>
  <c r="DS15" i="15" s="1"/>
  <c r="ED56" i="11"/>
  <c r="DS27" i="15" s="1"/>
  <c r="ED68" i="11"/>
  <c r="DS33" i="15" s="1"/>
  <c r="ED80" i="11"/>
  <c r="DS39" i="15" s="1"/>
  <c r="ED50" i="11"/>
  <c r="DS24" i="15" s="1"/>
  <c r="ED62" i="11"/>
  <c r="DS30" i="15" s="1"/>
  <c r="ED74" i="11"/>
  <c r="DS36" i="15" s="1"/>
  <c r="EC14" i="11"/>
  <c r="DR6" i="15" s="1"/>
  <c r="EC8" i="11"/>
  <c r="DR3" i="15" s="1"/>
  <c r="EC20" i="11"/>
  <c r="DR9" i="15" s="1"/>
  <c r="EC26" i="11"/>
  <c r="DR12" i="15" s="1"/>
  <c r="EC38" i="11"/>
  <c r="DR18" i="15" s="1"/>
  <c r="EC32" i="11"/>
  <c r="DR15" i="15" s="1"/>
  <c r="EC50" i="11"/>
  <c r="DR24" i="15" s="1"/>
  <c r="EC62" i="11"/>
  <c r="DR30" i="15" s="1"/>
  <c r="EC74" i="11"/>
  <c r="DR36" i="15" s="1"/>
  <c r="EC44" i="11"/>
  <c r="DR21" i="15" s="1"/>
  <c r="EC56" i="11"/>
  <c r="DR27" i="15" s="1"/>
  <c r="EC68" i="11"/>
  <c r="DR33" i="15" s="1"/>
  <c r="DZ8" i="11"/>
  <c r="DP3" i="15" s="1"/>
  <c r="DZ20" i="11"/>
  <c r="DP9" i="15" s="1"/>
  <c r="DZ14" i="11"/>
  <c r="DP6" i="15" s="1"/>
  <c r="DZ26" i="11"/>
  <c r="DP12" i="15" s="1"/>
  <c r="DZ38" i="11"/>
  <c r="DP18" i="15" s="1"/>
  <c r="DZ44" i="11"/>
  <c r="DP21" i="15" s="1"/>
  <c r="DZ32" i="11"/>
  <c r="DP15" i="15" s="1"/>
  <c r="DZ56" i="11"/>
  <c r="DP27" i="15" s="1"/>
  <c r="DZ68" i="11"/>
  <c r="DP33" i="15" s="1"/>
  <c r="DZ80" i="11"/>
  <c r="DP39" i="15" s="1"/>
  <c r="DZ50" i="11"/>
  <c r="DP24" i="15" s="1"/>
  <c r="DZ62" i="11"/>
  <c r="DP30" i="15" s="1"/>
  <c r="DZ74" i="11"/>
  <c r="DP36" i="15" s="1"/>
  <c r="DY14" i="11"/>
  <c r="DO6" i="15" s="1"/>
  <c r="DY8" i="11"/>
  <c r="DO3" i="15" s="1"/>
  <c r="DY20" i="11"/>
  <c r="DO9" i="15" s="1"/>
  <c r="DY26" i="11"/>
  <c r="DO12" i="15" s="1"/>
  <c r="DY38" i="11"/>
  <c r="DO18" i="15" s="1"/>
  <c r="DY32" i="11"/>
  <c r="DO15" i="15" s="1"/>
  <c r="DY62" i="11"/>
  <c r="DO30" i="15" s="1"/>
  <c r="DY74" i="11"/>
  <c r="DO36" i="15" s="1"/>
  <c r="DY44" i="11"/>
  <c r="DO21" i="15" s="1"/>
  <c r="DY56" i="11"/>
  <c r="DO27" i="15" s="1"/>
  <c r="DY68" i="11"/>
  <c r="DO33" i="15" s="1"/>
  <c r="DY50" i="11"/>
  <c r="DO24" i="15" s="1"/>
  <c r="DT14" i="11"/>
  <c r="DJ6" i="15" s="1"/>
  <c r="DT32" i="11"/>
  <c r="DJ15" i="15" s="1"/>
  <c r="DT20" i="11"/>
  <c r="DJ9" i="15" s="1"/>
  <c r="DT26" i="11"/>
  <c r="DJ12" i="15" s="1"/>
  <c r="DT38" i="11"/>
  <c r="DJ18" i="15" s="1"/>
  <c r="DT50" i="11"/>
  <c r="DJ24" i="15" s="1"/>
  <c r="DT8" i="11"/>
  <c r="DJ3" i="15" s="1"/>
  <c r="DT44" i="11"/>
  <c r="DJ21" i="15" s="1"/>
  <c r="DT62" i="11"/>
  <c r="DJ30" i="15" s="1"/>
  <c r="DT74" i="11"/>
  <c r="DJ36" i="15" s="1"/>
  <c r="DT56" i="11"/>
  <c r="DJ27" i="15" s="1"/>
  <c r="DT68" i="11"/>
  <c r="DJ33" i="15" s="1"/>
  <c r="DT80" i="11"/>
  <c r="DJ39" i="15" s="1"/>
  <c r="DS8" i="11"/>
  <c r="DI3" i="15" s="1"/>
  <c r="DS20" i="11"/>
  <c r="DI9" i="15" s="1"/>
  <c r="DS32" i="11"/>
  <c r="DI15" i="15" s="1"/>
  <c r="DS26" i="11"/>
  <c r="DI12" i="15" s="1"/>
  <c r="DS56" i="11"/>
  <c r="DI27" i="15" s="1"/>
  <c r="DS68" i="11"/>
  <c r="DI33" i="15" s="1"/>
  <c r="DS44" i="11"/>
  <c r="DI21" i="15" s="1"/>
  <c r="DS74" i="11"/>
  <c r="DI36" i="15" s="1"/>
  <c r="DS50" i="11"/>
  <c r="DI24" i="15" s="1"/>
  <c r="DK8" i="11"/>
  <c r="DB3" i="15" s="1"/>
  <c r="DK14" i="11"/>
  <c r="DB6" i="15" s="1"/>
  <c r="DK20" i="11"/>
  <c r="DB9" i="15" s="1"/>
  <c r="DK32" i="11"/>
  <c r="DB15" i="15" s="1"/>
  <c r="DK26" i="11"/>
  <c r="DB12" i="15" s="1"/>
  <c r="DK38" i="11"/>
  <c r="DB18" i="15" s="1"/>
  <c r="DK44" i="11"/>
  <c r="DB21" i="15" s="1"/>
  <c r="DK56" i="11"/>
  <c r="DB27" i="15" s="1"/>
  <c r="DK68" i="11"/>
  <c r="DB33" i="15" s="1"/>
  <c r="DK80" i="11"/>
  <c r="DB39" i="15" s="1"/>
  <c r="DK50" i="11"/>
  <c r="DB24" i="15" s="1"/>
  <c r="DK62" i="11"/>
  <c r="DB30" i="15" s="1"/>
  <c r="DK74" i="11"/>
  <c r="DB36" i="15" s="1"/>
  <c r="DJ8" i="11"/>
  <c r="DA3" i="15" s="1"/>
  <c r="DJ20" i="11"/>
  <c r="DA9" i="15" s="1"/>
  <c r="DJ14" i="11"/>
  <c r="DA6" i="15" s="1"/>
  <c r="DJ26" i="11"/>
  <c r="DA12" i="15" s="1"/>
  <c r="DJ38" i="11"/>
  <c r="DA18" i="15" s="1"/>
  <c r="DJ44" i="11"/>
  <c r="DA21" i="15" s="1"/>
  <c r="DJ32" i="11"/>
  <c r="DA15" i="15" s="1"/>
  <c r="DJ56" i="11"/>
  <c r="DA27" i="15" s="1"/>
  <c r="DJ68" i="11"/>
  <c r="DA33" i="15" s="1"/>
  <c r="DJ80" i="11"/>
  <c r="DA39" i="15" s="1"/>
  <c r="DJ50" i="11"/>
  <c r="DA24" i="15" s="1"/>
  <c r="DJ62" i="11"/>
  <c r="DA30" i="15" s="1"/>
  <c r="DJ74" i="11"/>
  <c r="DA36" i="15" s="1"/>
  <c r="DI14" i="11"/>
  <c r="CZ6" i="15" s="1"/>
  <c r="DI8" i="11"/>
  <c r="CZ3" i="15" s="1"/>
  <c r="DI20" i="11"/>
  <c r="CZ9" i="15" s="1"/>
  <c r="DI26" i="11"/>
  <c r="CZ12" i="15" s="1"/>
  <c r="DI38" i="11"/>
  <c r="CZ18" i="15" s="1"/>
  <c r="DI32" i="11"/>
  <c r="CZ15" i="15" s="1"/>
  <c r="DI62" i="11"/>
  <c r="CZ30" i="15" s="1"/>
  <c r="DI74" i="11"/>
  <c r="CZ36" i="15" s="1"/>
  <c r="DI44" i="11"/>
  <c r="CZ21" i="15" s="1"/>
  <c r="DI56" i="11"/>
  <c r="CZ27" i="15" s="1"/>
  <c r="DI68" i="11"/>
  <c r="CZ33" i="15" s="1"/>
  <c r="DI50" i="11"/>
  <c r="CZ24" i="15" s="1"/>
  <c r="DB8" i="11"/>
  <c r="CS3" i="15" s="1"/>
  <c r="DN8" i="11"/>
  <c r="DB20" i="11"/>
  <c r="CS9" i="15" s="1"/>
  <c r="DN20" i="11"/>
  <c r="DN14" i="11"/>
  <c r="DB26" i="11"/>
  <c r="CS12" i="15" s="1"/>
  <c r="DN26" i="11"/>
  <c r="DB44" i="11"/>
  <c r="CS21" i="15" s="1"/>
  <c r="DN44" i="11"/>
  <c r="DB32" i="11"/>
  <c r="CS15" i="15" s="1"/>
  <c r="DN38" i="11"/>
  <c r="DB14" i="11"/>
  <c r="CS6" i="15"/>
  <c r="DB38" i="11"/>
  <c r="CS18" i="15" s="1"/>
  <c r="DN32" i="11"/>
  <c r="DB50" i="11"/>
  <c r="CS24" i="15" s="1"/>
  <c r="DB56" i="11"/>
  <c r="CS27" i="15" s="1"/>
  <c r="DN56" i="11"/>
  <c r="DB68" i="11"/>
  <c r="CS33" i="15"/>
  <c r="DN68" i="11"/>
  <c r="DB80" i="11"/>
  <c r="CS39" i="15" s="1"/>
  <c r="DN80" i="11"/>
  <c r="DN50" i="11"/>
  <c r="DB62" i="11"/>
  <c r="CS30" i="15" s="1"/>
  <c r="DN62" i="11"/>
  <c r="DB74" i="11"/>
  <c r="CS36" i="15"/>
  <c r="DN74" i="11"/>
  <c r="CZ14" i="11"/>
  <c r="CR6" i="15" s="1"/>
  <c r="CZ8" i="11"/>
  <c r="CR3" i="15" s="1"/>
  <c r="CZ20" i="11"/>
  <c r="CR9" i="15" s="1"/>
  <c r="CZ32" i="11"/>
  <c r="CR15" i="15" s="1"/>
  <c r="CZ50" i="11"/>
  <c r="CR24" i="15" s="1"/>
  <c r="CZ26" i="11"/>
  <c r="CR12" i="15" s="1"/>
  <c r="CZ38" i="11"/>
  <c r="CR18" i="15" s="1"/>
  <c r="CZ44" i="11"/>
  <c r="CR21" i="15" s="1"/>
  <c r="CZ62" i="11"/>
  <c r="CR30" i="15" s="1"/>
  <c r="CZ74" i="11"/>
  <c r="CR36" i="15" s="1"/>
  <c r="CZ56" i="11"/>
  <c r="CR27" i="15" s="1"/>
  <c r="CZ68" i="11"/>
  <c r="CR33" i="15" s="1"/>
  <c r="CZ80" i="11"/>
  <c r="CR39" i="15" s="1"/>
  <c r="CY8" i="11"/>
  <c r="CQ3" i="15" s="1"/>
  <c r="CY14" i="11"/>
  <c r="CQ6" i="15" s="1"/>
  <c r="CY20" i="11"/>
  <c r="CQ9" i="15" s="1"/>
  <c r="CY32" i="11"/>
  <c r="CQ15" i="15" s="1"/>
  <c r="CY38" i="11"/>
  <c r="CQ18" i="15" s="1"/>
  <c r="CY26" i="11"/>
  <c r="CQ12" i="15" s="1"/>
  <c r="CY56" i="11"/>
  <c r="CQ27" i="15" s="1"/>
  <c r="CY68" i="11"/>
  <c r="CQ33" i="15" s="1"/>
  <c r="CY80" i="11"/>
  <c r="CQ39" i="15" s="1"/>
  <c r="CY44" i="11"/>
  <c r="CQ21" i="15" s="1"/>
  <c r="CY50" i="11"/>
  <c r="CQ24" i="15" s="1"/>
  <c r="CY62" i="11"/>
  <c r="CQ30" i="15" s="1"/>
  <c r="CY74" i="11"/>
  <c r="CQ36" i="15" s="1"/>
  <c r="CU8" i="11"/>
  <c r="CM3" i="15" s="1"/>
  <c r="CU14" i="11"/>
  <c r="CM6" i="15" s="1"/>
  <c r="CU20" i="11"/>
  <c r="CM9" i="15" s="1"/>
  <c r="CU32" i="11"/>
  <c r="CM15" i="15" s="1"/>
  <c r="CU26" i="11"/>
  <c r="CM12" i="15" s="1"/>
  <c r="CU38" i="11"/>
  <c r="CM18" i="15" s="1"/>
  <c r="CU44" i="11"/>
  <c r="CM21" i="15" s="1"/>
  <c r="CU56" i="11"/>
  <c r="CM27" i="15" s="1"/>
  <c r="CU68" i="11"/>
  <c r="CM33" i="15" s="1"/>
  <c r="CU80" i="11"/>
  <c r="CM39" i="15" s="1"/>
  <c r="CU50" i="11"/>
  <c r="CM24" i="15" s="1"/>
  <c r="CU62" i="11"/>
  <c r="CM30" i="15" s="1"/>
  <c r="CU74" i="11"/>
  <c r="CM36" i="15" s="1"/>
  <c r="CT8" i="11"/>
  <c r="CL3" i="15" s="1"/>
  <c r="CT20" i="11"/>
  <c r="CL9" i="15" s="1"/>
  <c r="CT14" i="11"/>
  <c r="CL6" i="15" s="1"/>
  <c r="CT26" i="11"/>
  <c r="CL12" i="15" s="1"/>
  <c r="CT38" i="11"/>
  <c r="CL18" i="15" s="1"/>
  <c r="CT44" i="11"/>
  <c r="CL21" i="15" s="1"/>
  <c r="CT32" i="11"/>
  <c r="CL15" i="15" s="1"/>
  <c r="CT56" i="11"/>
  <c r="CL27" i="15" s="1"/>
  <c r="CT68" i="11"/>
  <c r="CL33" i="15" s="1"/>
  <c r="CT80" i="11"/>
  <c r="CL39" i="15" s="1"/>
  <c r="CT50" i="11"/>
  <c r="CL24" i="15" s="1"/>
  <c r="CT62" i="11"/>
  <c r="CL30" i="15" s="1"/>
  <c r="CT74" i="11"/>
  <c r="CL36" i="15" s="1"/>
  <c r="CS14" i="11"/>
  <c r="CK6" i="15" s="1"/>
  <c r="CS8" i="11"/>
  <c r="CK3" i="15" s="1"/>
  <c r="CS20" i="11"/>
  <c r="CK9" i="15" s="1"/>
  <c r="CS26" i="11"/>
  <c r="CK12" i="15" s="1"/>
  <c r="CS38" i="11"/>
  <c r="CK18" i="15" s="1"/>
  <c r="CS32" i="11"/>
  <c r="CK15" i="15" s="1"/>
  <c r="CS62" i="11"/>
  <c r="CK30" i="15" s="1"/>
  <c r="CS74" i="11"/>
  <c r="CK36" i="15" s="1"/>
  <c r="CS44" i="11"/>
  <c r="CK21" i="15" s="1"/>
  <c r="CS56" i="11"/>
  <c r="CK27" i="15" s="1"/>
  <c r="CS68" i="11"/>
  <c r="CK33" i="15" s="1"/>
  <c r="CS80" i="11"/>
  <c r="CK39" i="15" s="1"/>
  <c r="CS50" i="11"/>
  <c r="CK24" i="15" s="1"/>
  <c r="CB14" i="11"/>
  <c r="BU6" i="15" s="1"/>
  <c r="CN14" i="11"/>
  <c r="CB20" i="11"/>
  <c r="BU9" i="15" s="1"/>
  <c r="CB32" i="11"/>
  <c r="BU15" i="15"/>
  <c r="CN32" i="11"/>
  <c r="CB8" i="11"/>
  <c r="BU3" i="15" s="1"/>
  <c r="CN20" i="11"/>
  <c r="CN38" i="11"/>
  <c r="CB50" i="11"/>
  <c r="BU24" i="15" s="1"/>
  <c r="CN50" i="11"/>
  <c r="CN8" i="11"/>
  <c r="CB26" i="11"/>
  <c r="BU12" i="15" s="1"/>
  <c r="CB38" i="11"/>
  <c r="BU18" i="15" s="1"/>
  <c r="CN26" i="11"/>
  <c r="CN44" i="11"/>
  <c r="CB62" i="11"/>
  <c r="BU30" i="15" s="1"/>
  <c r="CN62" i="11"/>
  <c r="CB74" i="11"/>
  <c r="BU36" i="15" s="1"/>
  <c r="CN74" i="11"/>
  <c r="CB44" i="11"/>
  <c r="BU21" i="15" s="1"/>
  <c r="CB56" i="11"/>
  <c r="BU27" i="15" s="1"/>
  <c r="CN56" i="11"/>
  <c r="CB68" i="11"/>
  <c r="BU33" i="15" s="1"/>
  <c r="CN68" i="11"/>
  <c r="CB80" i="11"/>
  <c r="BU39" i="15" s="1"/>
  <c r="CN80" i="11"/>
  <c r="BZ8" i="11"/>
  <c r="BT3" i="15"/>
  <c r="BZ20" i="11"/>
  <c r="BT9" i="15" s="1"/>
  <c r="BZ26" i="11"/>
  <c r="BT12" i="15"/>
  <c r="BZ38" i="11"/>
  <c r="BT18" i="15" s="1"/>
  <c r="BZ14" i="11"/>
  <c r="BT6" i="15"/>
  <c r="BZ44" i="11"/>
  <c r="BT21" i="15" s="1"/>
  <c r="BZ32" i="11"/>
  <c r="BT15" i="15"/>
  <c r="BZ50" i="11"/>
  <c r="BT24" i="15" s="1"/>
  <c r="BZ56" i="11"/>
  <c r="BT27" i="15"/>
  <c r="BZ68" i="11"/>
  <c r="BT33" i="15" s="1"/>
  <c r="BZ80" i="11"/>
  <c r="BT39" i="15"/>
  <c r="BZ62" i="11"/>
  <c r="BT30" i="15" s="1"/>
  <c r="BZ74" i="11"/>
  <c r="BT36" i="15"/>
  <c r="BU14" i="11"/>
  <c r="BO6" i="15" s="1"/>
  <c r="BU8" i="11"/>
  <c r="BO3" i="15"/>
  <c r="BU20" i="11"/>
  <c r="BO9" i="15" s="1"/>
  <c r="BU26" i="11"/>
  <c r="BO12" i="15"/>
  <c r="BU38" i="11"/>
  <c r="BO18" i="15" s="1"/>
  <c r="BU32" i="11"/>
  <c r="BO15" i="15"/>
  <c r="BU62" i="11"/>
  <c r="BO30" i="15" s="1"/>
  <c r="BU74" i="11"/>
  <c r="BO36" i="15"/>
  <c r="BU50" i="11"/>
  <c r="BO24" i="15" s="1"/>
  <c r="BU56" i="11"/>
  <c r="BO27" i="15"/>
  <c r="BU68" i="11"/>
  <c r="BO33" i="15" s="1"/>
  <c r="BU80" i="11"/>
  <c r="BO39" i="15"/>
  <c r="BU44" i="11"/>
  <c r="BO21" i="15" s="1"/>
  <c r="BT14" i="11"/>
  <c r="BN6" i="15"/>
  <c r="BT8" i="11"/>
  <c r="BN3" i="15" s="1"/>
  <c r="BT20" i="11"/>
  <c r="BN9" i="15"/>
  <c r="BT32" i="11"/>
  <c r="BN15" i="15" s="1"/>
  <c r="BT26" i="11"/>
  <c r="BN12" i="15"/>
  <c r="BT50" i="11"/>
  <c r="BN24" i="15" s="1"/>
  <c r="BT38" i="11"/>
  <c r="BN18" i="15"/>
  <c r="BT44" i="11"/>
  <c r="BN21" i="15" s="1"/>
  <c r="BT62" i="11"/>
  <c r="BN30" i="15"/>
  <c r="BT74" i="11"/>
  <c r="BN36" i="15" s="1"/>
  <c r="BT56" i="11"/>
  <c r="BN27" i="15"/>
  <c r="BT68" i="11"/>
  <c r="BN33" i="15" s="1"/>
  <c r="BT80" i="11"/>
  <c r="BN39" i="15"/>
  <c r="BS8" i="11"/>
  <c r="BM3" i="15" s="1"/>
  <c r="BS26" i="11"/>
  <c r="BM12" i="15"/>
  <c r="BS32" i="11"/>
  <c r="BM15" i="15" s="1"/>
  <c r="BS56" i="11"/>
  <c r="BM27" i="15"/>
  <c r="BS80" i="11"/>
  <c r="BM39" i="15" s="1"/>
  <c r="BS50" i="11"/>
  <c r="BM24" i="15"/>
  <c r="BS74" i="11"/>
  <c r="BM36" i="15" s="1"/>
  <c r="BK8" i="11"/>
  <c r="BF3" i="15"/>
  <c r="BK14" i="11"/>
  <c r="BF6" i="15" s="1"/>
  <c r="BK26" i="11"/>
  <c r="BF12" i="15"/>
  <c r="BK20" i="11"/>
  <c r="BF9" i="15" s="1"/>
  <c r="BK32" i="11"/>
  <c r="BF15" i="15"/>
  <c r="BK38" i="11"/>
  <c r="BF18" i="15" s="1"/>
  <c r="BK50" i="11"/>
  <c r="BF24" i="15"/>
  <c r="BK56" i="11"/>
  <c r="BF27" i="15" s="1"/>
  <c r="BK68" i="11"/>
  <c r="BF33" i="15"/>
  <c r="BK80" i="11"/>
  <c r="BF39" i="15" s="1"/>
  <c r="BK62" i="11"/>
  <c r="BF30" i="15"/>
  <c r="BK74" i="11"/>
  <c r="BF36" i="15" s="1"/>
  <c r="BK44" i="11"/>
  <c r="BF21" i="15"/>
  <c r="BJ8" i="11"/>
  <c r="BE3" i="15" s="1"/>
  <c r="BJ20" i="11"/>
  <c r="BE9" i="15"/>
  <c r="BJ38" i="11"/>
  <c r="BE18" i="15" s="1"/>
  <c r="BJ14" i="11"/>
  <c r="BE6" i="15"/>
  <c r="BJ26" i="11"/>
  <c r="BE12" i="15" s="1"/>
  <c r="BJ44" i="11"/>
  <c r="BE21" i="15"/>
  <c r="BJ32" i="11"/>
  <c r="BE15" i="15" s="1"/>
  <c r="BJ50" i="11"/>
  <c r="BE24" i="15"/>
  <c r="BJ56" i="11"/>
  <c r="BE27" i="15" s="1"/>
  <c r="BJ68" i="11"/>
  <c r="BE33" i="15"/>
  <c r="BJ80" i="11"/>
  <c r="BE39" i="15" s="1"/>
  <c r="BJ62" i="11"/>
  <c r="BE30" i="15"/>
  <c r="BJ74" i="11"/>
  <c r="BE36" i="15" s="1"/>
  <c r="BD14" i="11"/>
  <c r="AY6" i="15"/>
  <c r="BD26" i="11"/>
  <c r="AY12" i="15" s="1"/>
  <c r="BD8" i="11"/>
  <c r="AY3" i="15"/>
  <c r="BD20" i="11"/>
  <c r="AY9" i="15" s="1"/>
  <c r="BD32" i="11"/>
  <c r="AY15" i="15"/>
  <c r="BD50" i="11"/>
  <c r="AY24" i="15" s="1"/>
  <c r="BD38" i="11"/>
  <c r="AY18" i="15"/>
  <c r="BD44" i="11"/>
  <c r="AY21" i="15" s="1"/>
  <c r="BD62" i="11"/>
  <c r="AY30" i="15"/>
  <c r="BD74" i="11"/>
  <c r="AY36" i="15" s="1"/>
  <c r="F57" i="14"/>
  <c r="BD56" i="11"/>
  <c r="AY27" i="15" s="1"/>
  <c r="BD68" i="11"/>
  <c r="AY33" i="15" s="1"/>
  <c r="BD80" i="11"/>
  <c r="AY39" i="15" s="1"/>
  <c r="AX6" i="3"/>
  <c r="AX6" i="4"/>
  <c r="AX6" i="5"/>
  <c r="AX6" i="6"/>
  <c r="AX6" i="9"/>
  <c r="AX6" i="7"/>
  <c r="AX6" i="8"/>
  <c r="AX7" i="11"/>
  <c r="AX10" i="11"/>
  <c r="AX22" i="11"/>
  <c r="AX11" i="11"/>
  <c r="AT2" i="15" s="1"/>
  <c r="AX13" i="11"/>
  <c r="AX23" i="11"/>
  <c r="AT8" i="15"/>
  <c r="AX25" i="11"/>
  <c r="AX16" i="11"/>
  <c r="AX19" i="11"/>
  <c r="AX17" i="11"/>
  <c r="AT5" i="15" s="1"/>
  <c r="AX28" i="11"/>
  <c r="AX29" i="11"/>
  <c r="AT11" i="15" s="1"/>
  <c r="AX31" i="11"/>
  <c r="AX46" i="11"/>
  <c r="AX34" i="11"/>
  <c r="AX37" i="11"/>
  <c r="AX35" i="11"/>
  <c r="AT14" i="15" s="1"/>
  <c r="AX40" i="11"/>
  <c r="AX41" i="11"/>
  <c r="AT17" i="15" s="1"/>
  <c r="AX43" i="11"/>
  <c r="AX53" i="11"/>
  <c r="AT23" i="15"/>
  <c r="AX55" i="11"/>
  <c r="AX65" i="11"/>
  <c r="AT29" i="15" s="1"/>
  <c r="AX67" i="11"/>
  <c r="AX77" i="11"/>
  <c r="AT35" i="15" s="1"/>
  <c r="AX79" i="11"/>
  <c r="AX47" i="11"/>
  <c r="AT20" i="15" s="1"/>
  <c r="AX49" i="11"/>
  <c r="AX58" i="11"/>
  <c r="AX70" i="11"/>
  <c r="AX82" i="11"/>
  <c r="AX13" i="12"/>
  <c r="AX52" i="11"/>
  <c r="AX59" i="11"/>
  <c r="AT26" i="15" s="1"/>
  <c r="AX61" i="11"/>
  <c r="AX71" i="11"/>
  <c r="AT32" i="15" s="1"/>
  <c r="AX73" i="11"/>
  <c r="AX64" i="11"/>
  <c r="AX76" i="11"/>
  <c r="AV6" i="3"/>
  <c r="AV6" i="4"/>
  <c r="AV6" i="5"/>
  <c r="AV6" i="6"/>
  <c r="AV6" i="7"/>
  <c r="AV6" i="8"/>
  <c r="AV6" i="9"/>
  <c r="AV11" i="11"/>
  <c r="AR2" i="15" s="1"/>
  <c r="AV13" i="11"/>
  <c r="AV16" i="11"/>
  <c r="AV7" i="11"/>
  <c r="AV17" i="11"/>
  <c r="AR5" i="15" s="1"/>
  <c r="AV19" i="11"/>
  <c r="AV22" i="11"/>
  <c r="AV10" i="11"/>
  <c r="AV23" i="11"/>
  <c r="AR8" i="15" s="1"/>
  <c r="AV25" i="11"/>
  <c r="AV34" i="11"/>
  <c r="AV35" i="11"/>
  <c r="AR14" i="15" s="1"/>
  <c r="AV37" i="11"/>
  <c r="AV40" i="11"/>
  <c r="AV52" i="11"/>
  <c r="AV28" i="11"/>
  <c r="AV41" i="11"/>
  <c r="AR17" i="15" s="1"/>
  <c r="AV43" i="11"/>
  <c r="AV29" i="11"/>
  <c r="AR11" i="15" s="1"/>
  <c r="AV31" i="11"/>
  <c r="AV59" i="11"/>
  <c r="AR26" i="15" s="1"/>
  <c r="AV61" i="11"/>
  <c r="AV71" i="11"/>
  <c r="AR32" i="15" s="1"/>
  <c r="AV73" i="11"/>
  <c r="AV64" i="11"/>
  <c r="AV76" i="11"/>
  <c r="AV46" i="11"/>
  <c r="AV53" i="11"/>
  <c r="AR23" i="15" s="1"/>
  <c r="AV55" i="11"/>
  <c r="AV65" i="11"/>
  <c r="AR29" i="15" s="1"/>
  <c r="AV67" i="11"/>
  <c r="AV77" i="11"/>
  <c r="AR35" i="15" s="1"/>
  <c r="AV79" i="11"/>
  <c r="AV47" i="11"/>
  <c r="AR20" i="15" s="1"/>
  <c r="AV49" i="11"/>
  <c r="AV58" i="11"/>
  <c r="AV70" i="11"/>
  <c r="AV82" i="11"/>
  <c r="AV13" i="12"/>
  <c r="AS14" i="11"/>
  <c r="AO6" i="15" s="1"/>
  <c r="AS8" i="11"/>
  <c r="AO3" i="15" s="1"/>
  <c r="AS20" i="11"/>
  <c r="AO9" i="15" s="1"/>
  <c r="AS38" i="11"/>
  <c r="AO18" i="15" s="1"/>
  <c r="AS26" i="11"/>
  <c r="AO12" i="15" s="1"/>
  <c r="AS32" i="11"/>
  <c r="AO15" i="15" s="1"/>
  <c r="AS44" i="11"/>
  <c r="AO21" i="15" s="1"/>
  <c r="AS62" i="11"/>
  <c r="AO30" i="15" s="1"/>
  <c r="AS74" i="11"/>
  <c r="AO36" i="15" s="1"/>
  <c r="F47" i="14"/>
  <c r="AS50" i="11"/>
  <c r="AO24" i="15"/>
  <c r="AS56" i="11"/>
  <c r="AO27" i="15"/>
  <c r="AS68" i="11"/>
  <c r="AO33" i="15"/>
  <c r="AS80" i="11"/>
  <c r="AO39" i="15"/>
  <c r="AJ14" i="11"/>
  <c r="AG6" i="15" s="1"/>
  <c r="AJ26" i="11"/>
  <c r="AG12" i="15" s="1"/>
  <c r="AJ8" i="11"/>
  <c r="AG3" i="15" s="1"/>
  <c r="AJ32" i="11"/>
  <c r="AG15" i="15" s="1"/>
  <c r="AJ38" i="11"/>
  <c r="AG18" i="15" s="1"/>
  <c r="AJ50" i="11"/>
  <c r="AG24" i="15" s="1"/>
  <c r="AJ20" i="11"/>
  <c r="AG9" i="15" s="1"/>
  <c r="AJ62" i="11"/>
  <c r="AG30" i="15" s="1"/>
  <c r="AJ74" i="11"/>
  <c r="AG36" i="15" s="1"/>
  <c r="F39" i="14"/>
  <c r="AJ44" i="11"/>
  <c r="AG21" i="15" s="1"/>
  <c r="AJ56" i="11"/>
  <c r="AG27" i="15" s="1"/>
  <c r="AJ68" i="11"/>
  <c r="AG33" i="15" s="1"/>
  <c r="AJ80" i="11"/>
  <c r="AG39" i="15" s="1"/>
  <c r="AH6" i="3"/>
  <c r="AH6" i="4"/>
  <c r="AH6" i="5"/>
  <c r="AH6" i="6"/>
  <c r="AH6" i="9"/>
  <c r="AH6" i="7"/>
  <c r="AH6" i="8"/>
  <c r="AH7" i="11"/>
  <c r="AH10" i="11"/>
  <c r="AH22" i="11"/>
  <c r="AH11" i="11"/>
  <c r="AE2" i="15" s="1"/>
  <c r="AH13" i="11"/>
  <c r="AH23" i="11"/>
  <c r="AE8" i="15" s="1"/>
  <c r="AH25" i="11"/>
  <c r="AH16" i="11"/>
  <c r="AH19" i="11"/>
  <c r="AH17" i="11"/>
  <c r="AE5" i="15" s="1"/>
  <c r="AH28" i="11"/>
  <c r="AH29" i="11"/>
  <c r="AE11" i="15" s="1"/>
  <c r="AH31" i="11"/>
  <c r="AH46" i="11"/>
  <c r="AH34" i="11"/>
  <c r="AH37" i="11"/>
  <c r="AH35" i="11"/>
  <c r="AE14" i="15" s="1"/>
  <c r="AH40" i="11"/>
  <c r="AH41" i="11"/>
  <c r="AE17" i="15" s="1"/>
  <c r="AH43" i="11"/>
  <c r="AH53" i="11"/>
  <c r="AE23" i="15" s="1"/>
  <c r="AH55" i="11"/>
  <c r="AH65" i="11"/>
  <c r="AE29" i="15" s="1"/>
  <c r="AH67" i="11"/>
  <c r="AH77" i="11"/>
  <c r="AE35" i="15" s="1"/>
  <c r="AH79" i="11"/>
  <c r="AH47" i="11"/>
  <c r="AE20" i="15" s="1"/>
  <c r="AH49" i="11"/>
  <c r="AH58" i="11"/>
  <c r="AH70" i="11"/>
  <c r="AH82" i="11"/>
  <c r="AH13" i="12"/>
  <c r="AH52" i="11"/>
  <c r="AH59" i="11"/>
  <c r="AE26" i="15" s="1"/>
  <c r="AH61" i="11"/>
  <c r="AH71" i="11"/>
  <c r="AE32" i="15" s="1"/>
  <c r="AH73" i="11"/>
  <c r="AH64" i="11"/>
  <c r="AH76" i="11"/>
  <c r="AF6" i="3"/>
  <c r="AF6" i="4"/>
  <c r="AF6" i="5"/>
  <c r="AF6" i="6"/>
  <c r="AF6" i="7"/>
  <c r="AF6" i="8"/>
  <c r="AF6" i="9"/>
  <c r="AF11" i="11"/>
  <c r="AC2" i="15" s="1"/>
  <c r="AF13" i="11"/>
  <c r="AF16" i="11"/>
  <c r="AF7" i="11"/>
  <c r="AF17" i="11"/>
  <c r="AC5" i="15" s="1"/>
  <c r="AF19" i="11"/>
  <c r="AF22" i="11"/>
  <c r="AF10" i="11"/>
  <c r="AF23" i="11"/>
  <c r="AC8" i="15" s="1"/>
  <c r="AF25" i="11"/>
  <c r="AF34" i="11"/>
  <c r="AF35" i="11"/>
  <c r="AC14" i="15" s="1"/>
  <c r="AF37" i="11"/>
  <c r="AF40" i="11"/>
  <c r="AF52" i="11"/>
  <c r="AF28" i="11"/>
  <c r="AF41" i="11"/>
  <c r="AC17" i="15"/>
  <c r="AF43" i="11"/>
  <c r="AF29" i="11"/>
  <c r="AC11" i="15" s="1"/>
  <c r="AF31" i="11"/>
  <c r="AF59" i="11"/>
  <c r="AC26" i="15" s="1"/>
  <c r="AF61" i="11"/>
  <c r="AF71" i="11"/>
  <c r="AC32" i="15" s="1"/>
  <c r="AF73" i="11"/>
  <c r="AF64" i="11"/>
  <c r="AF76" i="11"/>
  <c r="AF46" i="11"/>
  <c r="AF53" i="11"/>
  <c r="AC23" i="15" s="1"/>
  <c r="AF55" i="11"/>
  <c r="AF65" i="11"/>
  <c r="AC29" i="15" s="1"/>
  <c r="AF67" i="11"/>
  <c r="AF77" i="11"/>
  <c r="AC35" i="15" s="1"/>
  <c r="AF79" i="11"/>
  <c r="AF47" i="11"/>
  <c r="AC20" i="15" s="1"/>
  <c r="AF49" i="11"/>
  <c r="AF58" i="11"/>
  <c r="AF70" i="11"/>
  <c r="AF82" i="11"/>
  <c r="AF13" i="12"/>
  <c r="Y14" i="11"/>
  <c r="W6" i="15" s="1"/>
  <c r="Y8" i="11"/>
  <c r="W3" i="15" s="1"/>
  <c r="Y20" i="11"/>
  <c r="W9" i="15" s="1"/>
  <c r="Y26" i="11"/>
  <c r="W12" i="15" s="1"/>
  <c r="Y38" i="11"/>
  <c r="W18" i="15" s="1"/>
  <c r="Y32" i="11"/>
  <c r="W15" i="15" s="1"/>
  <c r="Y62" i="11"/>
  <c r="W30" i="15" s="1"/>
  <c r="Y74" i="11"/>
  <c r="W36" i="15" s="1"/>
  <c r="Y50" i="11"/>
  <c r="W24" i="15" s="1"/>
  <c r="Y56" i="11"/>
  <c r="W27" i="15"/>
  <c r="Y68" i="11"/>
  <c r="W33" i="15" s="1"/>
  <c r="Y80" i="11"/>
  <c r="W39" i="15" s="1"/>
  <c r="Y44" i="11"/>
  <c r="W21" i="15" s="1"/>
  <c r="F29" i="14"/>
  <c r="V6" i="3"/>
  <c r="V6" i="4"/>
  <c r="V6" i="5"/>
  <c r="V6" i="6"/>
  <c r="V6" i="9"/>
  <c r="V6" i="7"/>
  <c r="V6" i="8"/>
  <c r="V7" i="11"/>
  <c r="V10" i="11"/>
  <c r="V22" i="11"/>
  <c r="V11" i="11"/>
  <c r="T2" i="15" s="1"/>
  <c r="V13" i="11"/>
  <c r="V23" i="11"/>
  <c r="T8" i="15" s="1"/>
  <c r="V25" i="11"/>
  <c r="V28" i="11"/>
  <c r="V16" i="11"/>
  <c r="V19" i="11"/>
  <c r="V29" i="11"/>
  <c r="T11" i="15" s="1"/>
  <c r="V31" i="11"/>
  <c r="V35" i="11"/>
  <c r="T14" i="15" s="1"/>
  <c r="V40" i="11"/>
  <c r="V46" i="11"/>
  <c r="V17" i="11"/>
  <c r="T5" i="15" s="1"/>
  <c r="V34" i="11"/>
  <c r="V37" i="11"/>
  <c r="V41" i="11"/>
  <c r="T17" i="15" s="1"/>
  <c r="V43" i="11"/>
  <c r="V53" i="11"/>
  <c r="T23" i="15" s="1"/>
  <c r="V55" i="11"/>
  <c r="V65" i="11"/>
  <c r="T29" i="15" s="1"/>
  <c r="V67" i="11"/>
  <c r="V77" i="11"/>
  <c r="T35" i="15" s="1"/>
  <c r="V79" i="11"/>
  <c r="V58" i="11"/>
  <c r="V70" i="11"/>
  <c r="V82" i="11"/>
  <c r="V13" i="12"/>
  <c r="V47" i="11"/>
  <c r="T20" i="15"/>
  <c r="V49" i="11"/>
  <c r="V59" i="11"/>
  <c r="T26" i="15" s="1"/>
  <c r="V61" i="11"/>
  <c r="V71" i="11"/>
  <c r="T32" i="15" s="1"/>
  <c r="V73" i="11"/>
  <c r="V52" i="11"/>
  <c r="V64" i="11"/>
  <c r="V76" i="11"/>
  <c r="F115" i="14"/>
  <c r="F91" i="14"/>
  <c r="CN83" i="11"/>
  <c r="DS82" i="11"/>
  <c r="DK82" i="11"/>
  <c r="BG82" i="11"/>
  <c r="AQ82" i="11"/>
  <c r="DS80" i="11"/>
  <c r="DI39" i="15" s="1"/>
  <c r="DI80" i="11"/>
  <c r="CZ39" i="15" s="1"/>
  <c r="EL8" i="11"/>
  <c r="EA3" i="15" s="1"/>
  <c r="EL44" i="11"/>
  <c r="EA21" i="15" s="1"/>
  <c r="EL68" i="11"/>
  <c r="EA33" i="15" s="1"/>
  <c r="EE6" i="3"/>
  <c r="EE6" i="4"/>
  <c r="EE6" i="6"/>
  <c r="EE6" i="9"/>
  <c r="EE6" i="7"/>
  <c r="EE10" i="11"/>
  <c r="EE11" i="11"/>
  <c r="DT2" i="15" s="1"/>
  <c r="EE13" i="11"/>
  <c r="EE25" i="11"/>
  <c r="EE16" i="11"/>
  <c r="EE7" i="11"/>
  <c r="EE22" i="11"/>
  <c r="EE29" i="11"/>
  <c r="DT11" i="15" s="1"/>
  <c r="EE17" i="11"/>
  <c r="DT5" i="15" s="1"/>
  <c r="EE34" i="11"/>
  <c r="EE47" i="11"/>
  <c r="DT20" i="15" s="1"/>
  <c r="EE40" i="11"/>
  <c r="EE28" i="11"/>
  <c r="EE37" i="11"/>
  <c r="EE35" i="11"/>
  <c r="DT14" i="15" s="1"/>
  <c r="EE43" i="11"/>
  <c r="EE70" i="11"/>
  <c r="EE46" i="11"/>
  <c r="EE59" i="11"/>
  <c r="DT26" i="15" s="1"/>
  <c r="EE71" i="11"/>
  <c r="DT32" i="15" s="1"/>
  <c r="EE73" i="11"/>
  <c r="EE83" i="11"/>
  <c r="DT38" i="15" s="1"/>
  <c r="EE64" i="11"/>
  <c r="EE76" i="11"/>
  <c r="EE53" i="11"/>
  <c r="DT23" i="15" s="1"/>
  <c r="EE65" i="11"/>
  <c r="DT29" i="15" s="1"/>
  <c r="EE67" i="11"/>
  <c r="EE77" i="11"/>
  <c r="DT35" i="15" s="1"/>
  <c r="EE79" i="11"/>
  <c r="DZ6" i="3"/>
  <c r="DZ6" i="4"/>
  <c r="DZ6" i="5"/>
  <c r="DZ6" i="6"/>
  <c r="DZ6" i="9"/>
  <c r="DZ6" i="7"/>
  <c r="DZ6" i="8"/>
  <c r="DZ7" i="11"/>
  <c r="DZ10" i="11"/>
  <c r="DZ22" i="11"/>
  <c r="DZ11" i="11"/>
  <c r="DP2" i="15" s="1"/>
  <c r="DZ13" i="11"/>
  <c r="DZ23" i="11"/>
  <c r="DP8" i="15"/>
  <c r="DZ25" i="11"/>
  <c r="DZ16" i="11"/>
  <c r="DZ19" i="11"/>
  <c r="DZ17" i="11"/>
  <c r="DP5" i="15" s="1"/>
  <c r="DZ28" i="11"/>
  <c r="DZ29" i="11"/>
  <c r="DP11" i="15" s="1"/>
  <c r="DZ31" i="11"/>
  <c r="DZ46" i="11"/>
  <c r="DZ34" i="11"/>
  <c r="DZ37" i="11"/>
  <c r="DZ35" i="11"/>
  <c r="DP14" i="15" s="1"/>
  <c r="DZ40" i="11"/>
  <c r="DZ41" i="11"/>
  <c r="DP17" i="15" s="1"/>
  <c r="DZ53" i="11"/>
  <c r="DP23" i="15" s="1"/>
  <c r="DZ55" i="11"/>
  <c r="DZ65" i="11"/>
  <c r="DP29" i="15" s="1"/>
  <c r="DZ67" i="11"/>
  <c r="DZ77" i="11"/>
  <c r="DP35" i="15" s="1"/>
  <c r="DZ79" i="11"/>
  <c r="DZ47" i="11"/>
  <c r="DP20" i="15" s="1"/>
  <c r="DZ49" i="11"/>
  <c r="DZ58" i="11"/>
  <c r="DZ70" i="11"/>
  <c r="DZ82" i="11"/>
  <c r="DZ13" i="12"/>
  <c r="DZ59" i="11"/>
  <c r="DP26" i="15"/>
  <c r="DZ61" i="11"/>
  <c r="DZ71" i="11"/>
  <c r="DP32" i="15" s="1"/>
  <c r="DZ73" i="11"/>
  <c r="DZ43" i="11"/>
  <c r="DZ52" i="11"/>
  <c r="DZ64" i="11"/>
  <c r="DZ76" i="11"/>
  <c r="DV20" i="11"/>
  <c r="DL9" i="15" s="1"/>
  <c r="DV26" i="11"/>
  <c r="DL12" i="15" s="1"/>
  <c r="DV14" i="11"/>
  <c r="DL6" i="15" s="1"/>
  <c r="DV44" i="11"/>
  <c r="DL21" i="15" s="1"/>
  <c r="DV32" i="11"/>
  <c r="DL15" i="15"/>
  <c r="DV38" i="11"/>
  <c r="DL18" i="15" s="1"/>
  <c r="DV50" i="11"/>
  <c r="DL24" i="15" s="1"/>
  <c r="DV56" i="11"/>
  <c r="DL27" i="15" s="1"/>
  <c r="DV68" i="11"/>
  <c r="DL33" i="15" s="1"/>
  <c r="DV80" i="11"/>
  <c r="DL39" i="15" s="1"/>
  <c r="DV62" i="11"/>
  <c r="DL30" i="15" s="1"/>
  <c r="DV74" i="11"/>
  <c r="DL36" i="15" s="1"/>
  <c r="DO8" i="11"/>
  <c r="DE3" i="15"/>
  <c r="EA8" i="11"/>
  <c r="DO14" i="11"/>
  <c r="DE6" i="15" s="1"/>
  <c r="EA14" i="11"/>
  <c r="EA20" i="11"/>
  <c r="DO20" i="11"/>
  <c r="DE9" i="15" s="1"/>
  <c r="DO32" i="11"/>
  <c r="DE15" i="15" s="1"/>
  <c r="EA32" i="11"/>
  <c r="DO38" i="11"/>
  <c r="DE18" i="15"/>
  <c r="EA26" i="11"/>
  <c r="DO26" i="11"/>
  <c r="DE12" i="15" s="1"/>
  <c r="EA38" i="11"/>
  <c r="EA44" i="11"/>
  <c r="DO56" i="11"/>
  <c r="DE27" i="15" s="1"/>
  <c r="EA56" i="11"/>
  <c r="DO68" i="11"/>
  <c r="DE33" i="15" s="1"/>
  <c r="EA68" i="11"/>
  <c r="DO44" i="11"/>
  <c r="DE21" i="15" s="1"/>
  <c r="EA50" i="11"/>
  <c r="DO50" i="11"/>
  <c r="DE24" i="15" s="1"/>
  <c r="DO62" i="11"/>
  <c r="DE30" i="15" s="1"/>
  <c r="EA62" i="11"/>
  <c r="DO74" i="11"/>
  <c r="DE36" i="15" s="1"/>
  <c r="EA74" i="11"/>
  <c r="DM14" i="11"/>
  <c r="DD6" i="15" s="1"/>
  <c r="DM8" i="11"/>
  <c r="DD3" i="15" s="1"/>
  <c r="DM20" i="11"/>
  <c r="DD9" i="15" s="1"/>
  <c r="DM26" i="11"/>
  <c r="DD12" i="15" s="1"/>
  <c r="DM38" i="11"/>
  <c r="DD18" i="15"/>
  <c r="DM32" i="11"/>
  <c r="DD15" i="15" s="1"/>
  <c r="DM50" i="11"/>
  <c r="DD24" i="15" s="1"/>
  <c r="DM62" i="11"/>
  <c r="DD30" i="15" s="1"/>
  <c r="DM74" i="11"/>
  <c r="DD36" i="15"/>
  <c r="DM44" i="11"/>
  <c r="DD21" i="15" s="1"/>
  <c r="DM56" i="11"/>
  <c r="DD27" i="15" s="1"/>
  <c r="DM68" i="11"/>
  <c r="DD33" i="15" s="1"/>
  <c r="DL14" i="11"/>
  <c r="DC6" i="15" s="1"/>
  <c r="DL8" i="11"/>
  <c r="DC3" i="15" s="1"/>
  <c r="DL32" i="11"/>
  <c r="DC15" i="15" s="1"/>
  <c r="DL26" i="11"/>
  <c r="DC12" i="15" s="1"/>
  <c r="DL50" i="11"/>
  <c r="DC24" i="15" s="1"/>
  <c r="DL20" i="11"/>
  <c r="DC9" i="15" s="1"/>
  <c r="DL38" i="11"/>
  <c r="DC18" i="15" s="1"/>
  <c r="DL62" i="11"/>
  <c r="DC30" i="15" s="1"/>
  <c r="DL74" i="11"/>
  <c r="DC36" i="15"/>
  <c r="DL44" i="11"/>
  <c r="DC21" i="15" s="1"/>
  <c r="DL56" i="11"/>
  <c r="DC27" i="15" s="1"/>
  <c r="DL68" i="11"/>
  <c r="DC33" i="15" s="1"/>
  <c r="DL80" i="11"/>
  <c r="DC39" i="15" s="1"/>
  <c r="DH14" i="11"/>
  <c r="CY6" i="15" s="1"/>
  <c r="DH20" i="11"/>
  <c r="CY9" i="15" s="1"/>
  <c r="DH32" i="11"/>
  <c r="CY15" i="15" s="1"/>
  <c r="DH8" i="11"/>
  <c r="CY3" i="15"/>
  <c r="DH50" i="11"/>
  <c r="CY24" i="15" s="1"/>
  <c r="DH38" i="11"/>
  <c r="CY18" i="15" s="1"/>
  <c r="DH26" i="11"/>
  <c r="CY12" i="15" s="1"/>
  <c r="DH62" i="11"/>
  <c r="CY30" i="15" s="1"/>
  <c r="DH74" i="11"/>
  <c r="CY36" i="15" s="1"/>
  <c r="DH44" i="11"/>
  <c r="CY21" i="15" s="1"/>
  <c r="DH56" i="11"/>
  <c r="CY27" i="15" s="1"/>
  <c r="DH68" i="11"/>
  <c r="CY33" i="15"/>
  <c r="DH80" i="11"/>
  <c r="CY39" i="15" s="1"/>
  <c r="DG8" i="11"/>
  <c r="CX3" i="15" s="1"/>
  <c r="DG14" i="11"/>
  <c r="CX6" i="15" s="1"/>
  <c r="DG20" i="11"/>
  <c r="CX9" i="15"/>
  <c r="DG32" i="11"/>
  <c r="CX15" i="15" s="1"/>
  <c r="DG38" i="11"/>
  <c r="CX18" i="15" s="1"/>
  <c r="DG26" i="11"/>
  <c r="CX12" i="15" s="1"/>
  <c r="DG50" i="11"/>
  <c r="CX24" i="15" s="1"/>
  <c r="DG56" i="11"/>
  <c r="CX27" i="15" s="1"/>
  <c r="DG68" i="11"/>
  <c r="CX33" i="15" s="1"/>
  <c r="DG80" i="11"/>
  <c r="CX39" i="15" s="1"/>
  <c r="DG62" i="11"/>
  <c r="CX30" i="15" s="1"/>
  <c r="DG74" i="11"/>
  <c r="CX36" i="15" s="1"/>
  <c r="DG44" i="11"/>
  <c r="CX21" i="15" s="1"/>
  <c r="DF8" i="11"/>
  <c r="CW3" i="15" s="1"/>
  <c r="DF20" i="11"/>
  <c r="CW9" i="15"/>
  <c r="DF26" i="11"/>
  <c r="CW12" i="15" s="1"/>
  <c r="DF14" i="11"/>
  <c r="CW6" i="15" s="1"/>
  <c r="DF44" i="11"/>
  <c r="CW21" i="15" s="1"/>
  <c r="DF32" i="11"/>
  <c r="CW15" i="15" s="1"/>
  <c r="DF38" i="11"/>
  <c r="CW18" i="15" s="1"/>
  <c r="DF50" i="11"/>
  <c r="CW24" i="15" s="1"/>
  <c r="DF56" i="11"/>
  <c r="CW27" i="15" s="1"/>
  <c r="DF68" i="11"/>
  <c r="CW33" i="15"/>
  <c r="DF80" i="11"/>
  <c r="CW39" i="15" s="1"/>
  <c r="DF62" i="11"/>
  <c r="CW30" i="15" s="1"/>
  <c r="DF74" i="11"/>
  <c r="CW36" i="15" s="1"/>
  <c r="DD6" i="3"/>
  <c r="DD6" i="4"/>
  <c r="DD6" i="5"/>
  <c r="DD6" i="6"/>
  <c r="DD6" i="7"/>
  <c r="DD6" i="8"/>
  <c r="DD6" i="9"/>
  <c r="DD11" i="11"/>
  <c r="CU2" i="15" s="1"/>
  <c r="DD13" i="11"/>
  <c r="DD16" i="11"/>
  <c r="DD7" i="11"/>
  <c r="DD17" i="11"/>
  <c r="CU5" i="15" s="1"/>
  <c r="DD19" i="11"/>
  <c r="DD34" i="11"/>
  <c r="DD10" i="11"/>
  <c r="DD22" i="11"/>
  <c r="DD35" i="11"/>
  <c r="CU14" i="15" s="1"/>
  <c r="DD37" i="11"/>
  <c r="DD29" i="11"/>
  <c r="CU11" i="15" s="1"/>
  <c r="DD31" i="11"/>
  <c r="DD40" i="11"/>
  <c r="DD23" i="11"/>
  <c r="CU8" i="15" s="1"/>
  <c r="DD41" i="11"/>
  <c r="CU17" i="15" s="1"/>
  <c r="DD43" i="11"/>
  <c r="DD25" i="11"/>
  <c r="DD28" i="11"/>
  <c r="DD59" i="11"/>
  <c r="CU26" i="15" s="1"/>
  <c r="DD61" i="11"/>
  <c r="DD71" i="11"/>
  <c r="CU32" i="15" s="1"/>
  <c r="DD73" i="11"/>
  <c r="DD46" i="11"/>
  <c r="DD52" i="11"/>
  <c r="DD64" i="11"/>
  <c r="DD76" i="11"/>
  <c r="DD47" i="11"/>
  <c r="CU20" i="15" s="1"/>
  <c r="DD49" i="11"/>
  <c r="DD53" i="11"/>
  <c r="CU23" i="15" s="1"/>
  <c r="DD55" i="11"/>
  <c r="DD65" i="11"/>
  <c r="CU29" i="15" s="1"/>
  <c r="DD67" i="11"/>
  <c r="DD77" i="11"/>
  <c r="CU35" i="15" s="1"/>
  <c r="DD79" i="11"/>
  <c r="DD58" i="11"/>
  <c r="DD70" i="11"/>
  <c r="DD82" i="11"/>
  <c r="DD13" i="12"/>
  <c r="DC6" i="3"/>
  <c r="DC6" i="4"/>
  <c r="DC6" i="5"/>
  <c r="DC6" i="6"/>
  <c r="DC6" i="9"/>
  <c r="DC6" i="7"/>
  <c r="DC6" i="8"/>
  <c r="DC10" i="11"/>
  <c r="DC11" i="11"/>
  <c r="CT2" i="15" s="1"/>
  <c r="DC13" i="11"/>
  <c r="DC23" i="11"/>
  <c r="CT8" i="15"/>
  <c r="DC25" i="11"/>
  <c r="DC16" i="11"/>
  <c r="DC17" i="11"/>
  <c r="CT5" i="15"/>
  <c r="DC29" i="11"/>
  <c r="CT11" i="15" s="1"/>
  <c r="DC31" i="11"/>
  <c r="DC34" i="11"/>
  <c r="DC19" i="11"/>
  <c r="DC28" i="11"/>
  <c r="DC37" i="11"/>
  <c r="DC47" i="11"/>
  <c r="CT20" i="15" s="1"/>
  <c r="DC49" i="11"/>
  <c r="DC7" i="11"/>
  <c r="DC35" i="11"/>
  <c r="CT14" i="15" s="1"/>
  <c r="DC40" i="11"/>
  <c r="DC41" i="11"/>
  <c r="CT17" i="15" s="1"/>
  <c r="DC43" i="11"/>
  <c r="DC22" i="11"/>
  <c r="DC58" i="11"/>
  <c r="DC70" i="11"/>
  <c r="DC59" i="11"/>
  <c r="CT26" i="15" s="1"/>
  <c r="DC61" i="11"/>
  <c r="DC71" i="11"/>
  <c r="CT32" i="15" s="1"/>
  <c r="DC73" i="11"/>
  <c r="DC83" i="11"/>
  <c r="CT38" i="15" s="1"/>
  <c r="DC46" i="11"/>
  <c r="DC52" i="11"/>
  <c r="DC64" i="11"/>
  <c r="DC76" i="11"/>
  <c r="DC53" i="11"/>
  <c r="CT23" i="15" s="1"/>
  <c r="DC55" i="11"/>
  <c r="DC65" i="11"/>
  <c r="CT29" i="15" s="1"/>
  <c r="DC67" i="11"/>
  <c r="DC77" i="11"/>
  <c r="CT35" i="15" s="1"/>
  <c r="DC79" i="11"/>
  <c r="CX8" i="11"/>
  <c r="CP3" i="15" s="1"/>
  <c r="CX20" i="11"/>
  <c r="CP9" i="15" s="1"/>
  <c r="CX14" i="11"/>
  <c r="CP6" i="15" s="1"/>
  <c r="CX26" i="11"/>
  <c r="CP12" i="15" s="1"/>
  <c r="CX44" i="11"/>
  <c r="CP21" i="15" s="1"/>
  <c r="CX38" i="11"/>
  <c r="CP18" i="15" s="1"/>
  <c r="CX32" i="11"/>
  <c r="CP15" i="15" s="1"/>
  <c r="CX56" i="11"/>
  <c r="CP27" i="15"/>
  <c r="CX68" i="11"/>
  <c r="CP33" i="15" s="1"/>
  <c r="CX80" i="11"/>
  <c r="CP39" i="15" s="1"/>
  <c r="CX50" i="11"/>
  <c r="CP24" i="15" s="1"/>
  <c r="CX62" i="11"/>
  <c r="CP30" i="15" s="1"/>
  <c r="CX74" i="11"/>
  <c r="CP36" i="15" s="1"/>
  <c r="CW14" i="11"/>
  <c r="CO6" i="15" s="1"/>
  <c r="CW8" i="11"/>
  <c r="CO3" i="15" s="1"/>
  <c r="CW20" i="11"/>
  <c r="CO9" i="15"/>
  <c r="CW26" i="11"/>
  <c r="CO12" i="15" s="1"/>
  <c r="CW38" i="11"/>
  <c r="CO18" i="15" s="1"/>
  <c r="CW32" i="11"/>
  <c r="CO15" i="15" s="1"/>
  <c r="CW50" i="11"/>
  <c r="CO24" i="15" s="1"/>
  <c r="CW62" i="11"/>
  <c r="CO30" i="15" s="1"/>
  <c r="CW74" i="11"/>
  <c r="CO36" i="15" s="1"/>
  <c r="CW44" i="11"/>
  <c r="CO21" i="15" s="1"/>
  <c r="CW56" i="11"/>
  <c r="CO27" i="15"/>
  <c r="CW68" i="11"/>
  <c r="CO33" i="15" s="1"/>
  <c r="CW80" i="11"/>
  <c r="CO39" i="15" s="1"/>
  <c r="CV14" i="11"/>
  <c r="CN6" i="15" s="1"/>
  <c r="CV8" i="11"/>
  <c r="CN3" i="15" s="1"/>
  <c r="CV32" i="11"/>
  <c r="CN15" i="15" s="1"/>
  <c r="CV26" i="11"/>
  <c r="CN12" i="15" s="1"/>
  <c r="CV50" i="11"/>
  <c r="CN24" i="15" s="1"/>
  <c r="CV38" i="11"/>
  <c r="CN18" i="15"/>
  <c r="CV20" i="11"/>
  <c r="CN9" i="15" s="1"/>
  <c r="CV62" i="11"/>
  <c r="CN30" i="15" s="1"/>
  <c r="CV74" i="11"/>
  <c r="CN36" i="15" s="1"/>
  <c r="CV44" i="11"/>
  <c r="CN21" i="15" s="1"/>
  <c r="CV56" i="11"/>
  <c r="CN27" i="15" s="1"/>
  <c r="CV68" i="11"/>
  <c r="CN33" i="15" s="1"/>
  <c r="CV80" i="11"/>
  <c r="CN39" i="15" s="1"/>
  <c r="CK6" i="3"/>
  <c r="CK6" i="5"/>
  <c r="CK6" i="6"/>
  <c r="CK6" i="4"/>
  <c r="CK6" i="7"/>
  <c r="CK6" i="8"/>
  <c r="CK6" i="9"/>
  <c r="CK7" i="11"/>
  <c r="CK17" i="11"/>
  <c r="CD5" i="15"/>
  <c r="CK19" i="11"/>
  <c r="CK10" i="11"/>
  <c r="CK22" i="11"/>
  <c r="CK23" i="11"/>
  <c r="CD8" i="15" s="1"/>
  <c r="CK25" i="11"/>
  <c r="CK16" i="11"/>
  <c r="CK35" i="11"/>
  <c r="CD14" i="15" s="1"/>
  <c r="CK37" i="11"/>
  <c r="CK28" i="11"/>
  <c r="CK13" i="11"/>
  <c r="CK41" i="11"/>
  <c r="CD17" i="15" s="1"/>
  <c r="CK43" i="11"/>
  <c r="CK29" i="11"/>
  <c r="CD11" i="15"/>
  <c r="CK31" i="11"/>
  <c r="CK11" i="11"/>
  <c r="CD2" i="15" s="1"/>
  <c r="CK34" i="11"/>
  <c r="CK40" i="11"/>
  <c r="CK47" i="11"/>
  <c r="CD20" i="15" s="1"/>
  <c r="CK49" i="11"/>
  <c r="CK64" i="11"/>
  <c r="CK76" i="11"/>
  <c r="CK52" i="11"/>
  <c r="CK53" i="11"/>
  <c r="CD23" i="15" s="1"/>
  <c r="CK55" i="11"/>
  <c r="CK65" i="11"/>
  <c r="CD29" i="15" s="1"/>
  <c r="CK67" i="11"/>
  <c r="CK77" i="11"/>
  <c r="CD35" i="15" s="1"/>
  <c r="CK79" i="11"/>
  <c r="CK58" i="11"/>
  <c r="CK70" i="11"/>
  <c r="CK46" i="11"/>
  <c r="CK59" i="11"/>
  <c r="CD26" i="15" s="1"/>
  <c r="CK61" i="11"/>
  <c r="CK71" i="11"/>
  <c r="CD32" i="15" s="1"/>
  <c r="CK73" i="11"/>
  <c r="CK83" i="11"/>
  <c r="CD38" i="15" s="1"/>
  <c r="CJ6" i="3"/>
  <c r="CJ6" i="4"/>
  <c r="CJ6" i="5"/>
  <c r="CJ6" i="6"/>
  <c r="CJ6" i="7"/>
  <c r="CJ6" i="8"/>
  <c r="CJ6" i="9"/>
  <c r="CJ11" i="11"/>
  <c r="CC2" i="15"/>
  <c r="CJ13" i="11"/>
  <c r="CJ16" i="11"/>
  <c r="CJ7" i="11"/>
  <c r="CJ17" i="11"/>
  <c r="CC5" i="15" s="1"/>
  <c r="CJ19" i="11"/>
  <c r="CJ22" i="11"/>
  <c r="CJ23" i="11"/>
  <c r="CC8" i="15" s="1"/>
  <c r="CJ25" i="11"/>
  <c r="CJ34" i="11"/>
  <c r="CJ35" i="11"/>
  <c r="CC14" i="15" s="1"/>
  <c r="CJ37" i="11"/>
  <c r="CJ40" i="11"/>
  <c r="CJ52" i="11"/>
  <c r="CJ28" i="11"/>
  <c r="CJ41" i="11"/>
  <c r="CC17" i="15"/>
  <c r="CJ43" i="11"/>
  <c r="CJ29" i="11"/>
  <c r="CC11" i="15" s="1"/>
  <c r="CJ31" i="11"/>
  <c r="CJ10" i="11"/>
  <c r="CJ46" i="11"/>
  <c r="CJ59" i="11"/>
  <c r="CC26" i="15" s="1"/>
  <c r="CJ61" i="11"/>
  <c r="CJ71" i="11"/>
  <c r="CC32" i="15" s="1"/>
  <c r="CJ73" i="11"/>
  <c r="CJ47" i="11"/>
  <c r="CC20" i="15" s="1"/>
  <c r="CJ49" i="11"/>
  <c r="CJ64" i="11"/>
  <c r="CJ76" i="11"/>
  <c r="CJ53" i="11"/>
  <c r="CC23" i="15" s="1"/>
  <c r="CJ55" i="11"/>
  <c r="CJ65" i="11"/>
  <c r="CC29" i="15" s="1"/>
  <c r="CJ67" i="11"/>
  <c r="CJ77" i="11"/>
  <c r="CC35" i="15" s="1"/>
  <c r="CJ79" i="11"/>
  <c r="CJ58" i="11"/>
  <c r="CJ70" i="11"/>
  <c r="CJ82" i="11"/>
  <c r="CJ13" i="12"/>
  <c r="CI6" i="3"/>
  <c r="CI6" i="4"/>
  <c r="CI6" i="5"/>
  <c r="CI6" i="6"/>
  <c r="CI6" i="9"/>
  <c r="CI6" i="7"/>
  <c r="CI6" i="8"/>
  <c r="CI10" i="11"/>
  <c r="CI11" i="11"/>
  <c r="CB2" i="15" s="1"/>
  <c r="CI13" i="11"/>
  <c r="CI23" i="11"/>
  <c r="CB8" i="15" s="1"/>
  <c r="CI25" i="11"/>
  <c r="CI16" i="11"/>
  <c r="CI7" i="11"/>
  <c r="CI19" i="11"/>
  <c r="CI22" i="11"/>
  <c r="CI29" i="11"/>
  <c r="CB11" i="15" s="1"/>
  <c r="CI31" i="11"/>
  <c r="CI17" i="11"/>
  <c r="CB5" i="15"/>
  <c r="CI34" i="11"/>
  <c r="CI47" i="11"/>
  <c r="CB20" i="15" s="1"/>
  <c r="CI49" i="11"/>
  <c r="CI40" i="11"/>
  <c r="CI28" i="11"/>
  <c r="CI37" i="11"/>
  <c r="CI41" i="11"/>
  <c r="CB17" i="15" s="1"/>
  <c r="CI43" i="11"/>
  <c r="CI35" i="11"/>
  <c r="CB14" i="15" s="1"/>
  <c r="CI58" i="11"/>
  <c r="CI70" i="11"/>
  <c r="CI46" i="11"/>
  <c r="CI59" i="11"/>
  <c r="CB26" i="15" s="1"/>
  <c r="CI61" i="11"/>
  <c r="CI71" i="11"/>
  <c r="CB32" i="15"/>
  <c r="CI73" i="11"/>
  <c r="CI83" i="11"/>
  <c r="CB38" i="15" s="1"/>
  <c r="CI52" i="11"/>
  <c r="CI64" i="11"/>
  <c r="CI76" i="11"/>
  <c r="CI53" i="11"/>
  <c r="CB23" i="15" s="1"/>
  <c r="CI55" i="11"/>
  <c r="CI65" i="11"/>
  <c r="CB29" i="15" s="1"/>
  <c r="CI67" i="11"/>
  <c r="CI77" i="11"/>
  <c r="CB35" i="15" s="1"/>
  <c r="CI79" i="11"/>
  <c r="CH8" i="11"/>
  <c r="CA3" i="15" s="1"/>
  <c r="CH20" i="11"/>
  <c r="CA9" i="15" s="1"/>
  <c r="CH14" i="11"/>
  <c r="CA6" i="15" s="1"/>
  <c r="CH26" i="11"/>
  <c r="CA12" i="15" s="1"/>
  <c r="CH38" i="11"/>
  <c r="CA18" i="15" s="1"/>
  <c r="CH44" i="11"/>
  <c r="CA21" i="15" s="1"/>
  <c r="CH32" i="11"/>
  <c r="CA15" i="15" s="1"/>
  <c r="CH56" i="11"/>
  <c r="CA27" i="15"/>
  <c r="CH68" i="11"/>
  <c r="CA33" i="15" s="1"/>
  <c r="CH80" i="11"/>
  <c r="CA39" i="15" s="1"/>
  <c r="CH50" i="11"/>
  <c r="CA24" i="15" s="1"/>
  <c r="CH62" i="11"/>
  <c r="CA30" i="15" s="1"/>
  <c r="CH74" i="11"/>
  <c r="CA36" i="15" s="1"/>
  <c r="CG14" i="11"/>
  <c r="BZ6" i="15" s="1"/>
  <c r="CG8" i="11"/>
  <c r="BZ3" i="15" s="1"/>
  <c r="CG20" i="11"/>
  <c r="BZ9" i="15"/>
  <c r="CG26" i="11"/>
  <c r="BZ12" i="15" s="1"/>
  <c r="CG38" i="11"/>
  <c r="BZ18" i="15" s="1"/>
  <c r="CG32" i="11"/>
  <c r="BZ15" i="15" s="1"/>
  <c r="CG50" i="11"/>
  <c r="BZ24" i="15" s="1"/>
  <c r="CG62" i="11"/>
  <c r="BZ30" i="15" s="1"/>
  <c r="CG74" i="11"/>
  <c r="BZ36" i="15" s="1"/>
  <c r="CG44" i="11"/>
  <c r="BZ21" i="15" s="1"/>
  <c r="CG56" i="11"/>
  <c r="BZ27" i="15"/>
  <c r="CG68" i="11"/>
  <c r="BZ33" i="15" s="1"/>
  <c r="CG80" i="11"/>
  <c r="BZ39" i="15" s="1"/>
  <c r="CE6" i="3"/>
  <c r="CE6" i="4"/>
  <c r="CE6" i="5"/>
  <c r="CE6" i="6"/>
  <c r="CE6" i="9"/>
  <c r="CE6" i="7"/>
  <c r="CE6" i="8"/>
  <c r="CE10" i="11"/>
  <c r="CE11" i="11"/>
  <c r="BX2" i="15" s="1"/>
  <c r="CE13" i="11"/>
  <c r="CE23" i="11"/>
  <c r="BX8" i="15" s="1"/>
  <c r="CE25" i="11"/>
  <c r="CE16" i="11"/>
  <c r="CE17" i="11"/>
  <c r="BX5" i="15" s="1"/>
  <c r="CE7" i="11"/>
  <c r="CE29" i="11"/>
  <c r="BX11" i="15" s="1"/>
  <c r="CE31" i="11"/>
  <c r="CE34" i="11"/>
  <c r="CE28" i="11"/>
  <c r="CE37" i="11"/>
  <c r="CE47" i="11"/>
  <c r="BX20" i="15" s="1"/>
  <c r="CE49" i="11"/>
  <c r="CE35" i="11"/>
  <c r="BX14" i="15" s="1"/>
  <c r="CE40" i="11"/>
  <c r="CE22" i="11"/>
  <c r="CE41" i="11"/>
  <c r="BX17" i="15" s="1"/>
  <c r="CE43" i="11"/>
  <c r="CE19" i="11"/>
  <c r="CE46" i="11"/>
  <c r="CE58" i="11"/>
  <c r="CE70" i="11"/>
  <c r="CE52" i="11"/>
  <c r="CE59" i="11"/>
  <c r="BX26" i="15" s="1"/>
  <c r="CE61" i="11"/>
  <c r="CE71" i="11"/>
  <c r="BX32" i="15" s="1"/>
  <c r="CE73" i="11"/>
  <c r="CE83" i="11"/>
  <c r="BX38" i="15" s="1"/>
  <c r="CE64" i="11"/>
  <c r="CE76" i="11"/>
  <c r="CE53" i="11"/>
  <c r="BX23" i="15" s="1"/>
  <c r="CE55" i="11"/>
  <c r="CE65" i="11"/>
  <c r="BX29" i="15" s="1"/>
  <c r="CE67" i="11"/>
  <c r="CE77" i="11"/>
  <c r="BX35" i="15" s="1"/>
  <c r="CE79" i="11"/>
  <c r="CD6" i="3"/>
  <c r="CD6" i="4"/>
  <c r="CD6" i="5"/>
  <c r="CD6" i="6"/>
  <c r="CD6" i="9"/>
  <c r="CD6" i="7"/>
  <c r="CD6" i="8"/>
  <c r="CD7" i="11"/>
  <c r="CD10" i="11"/>
  <c r="CD22" i="11"/>
  <c r="CD11" i="11"/>
  <c r="BW2" i="15" s="1"/>
  <c r="CD13" i="11"/>
  <c r="CD23" i="11"/>
  <c r="BW8" i="15" s="1"/>
  <c r="CD25" i="11"/>
  <c r="CD16" i="11"/>
  <c r="CD19" i="11"/>
  <c r="CD17" i="11"/>
  <c r="BW5" i="15" s="1"/>
  <c r="CD28" i="11"/>
  <c r="CD29" i="11"/>
  <c r="BW11" i="15" s="1"/>
  <c r="CD31" i="11"/>
  <c r="CD46" i="11"/>
  <c r="CD34" i="11"/>
  <c r="CD37" i="11"/>
  <c r="CD35" i="11"/>
  <c r="BW14" i="15" s="1"/>
  <c r="CD40" i="11"/>
  <c r="CD41" i="11"/>
  <c r="BW17" i="15" s="1"/>
  <c r="CD43" i="11"/>
  <c r="CD53" i="11"/>
  <c r="BW23" i="15" s="1"/>
  <c r="CD55" i="11"/>
  <c r="CD65" i="11"/>
  <c r="BW29" i="15" s="1"/>
  <c r="CD67" i="11"/>
  <c r="CD77" i="11"/>
  <c r="BW35" i="15" s="1"/>
  <c r="CD79" i="11"/>
  <c r="CD47" i="11"/>
  <c r="BW20" i="15" s="1"/>
  <c r="CD49" i="11"/>
  <c r="CD58" i="11"/>
  <c r="CD70" i="11"/>
  <c r="CD82" i="11"/>
  <c r="CD13" i="12"/>
  <c r="CD52" i="11"/>
  <c r="CD59" i="11"/>
  <c r="BW26" i="15" s="1"/>
  <c r="CD61" i="11"/>
  <c r="CD71" i="11"/>
  <c r="BW32" i="15" s="1"/>
  <c r="CD73" i="11"/>
  <c r="CD64" i="11"/>
  <c r="CD76" i="11"/>
  <c r="CC6" i="3"/>
  <c r="CC6" i="5"/>
  <c r="CC6" i="6"/>
  <c r="CC6" i="4"/>
  <c r="CC6" i="7"/>
  <c r="CC6" i="8"/>
  <c r="CC6" i="9"/>
  <c r="CC7" i="11"/>
  <c r="CC17" i="11"/>
  <c r="BV5" i="15" s="1"/>
  <c r="CC19" i="11"/>
  <c r="CC10" i="11"/>
  <c r="CC22" i="11"/>
  <c r="CC23" i="11"/>
  <c r="BV8" i="15" s="1"/>
  <c r="CC25" i="11"/>
  <c r="CC11" i="11"/>
  <c r="BV2" i="15" s="1"/>
  <c r="CC13" i="11"/>
  <c r="CC16" i="11"/>
  <c r="CC35" i="11"/>
  <c r="BV14" i="15" s="1"/>
  <c r="CC37" i="11"/>
  <c r="CC28" i="11"/>
  <c r="CC41" i="11"/>
  <c r="BV17" i="15" s="1"/>
  <c r="CC43" i="11"/>
  <c r="CC29" i="11"/>
  <c r="BV11" i="15" s="1"/>
  <c r="CC31" i="11"/>
  <c r="CC34" i="11"/>
  <c r="CC40" i="11"/>
  <c r="CC64" i="11"/>
  <c r="CC76" i="11"/>
  <c r="CC46" i="11"/>
  <c r="CC53" i="11"/>
  <c r="BV23" i="15" s="1"/>
  <c r="CC55" i="11"/>
  <c r="CC65" i="11"/>
  <c r="BV29" i="15" s="1"/>
  <c r="CC67" i="11"/>
  <c r="CC77" i="11"/>
  <c r="BV35" i="15" s="1"/>
  <c r="CC79" i="11"/>
  <c r="CC47" i="11"/>
  <c r="BV20" i="15" s="1"/>
  <c r="CC49" i="11"/>
  <c r="CC58" i="11"/>
  <c r="CC70" i="11"/>
  <c r="CC52" i="11"/>
  <c r="CC59" i="11"/>
  <c r="BV26" i="15" s="1"/>
  <c r="CC61" i="11"/>
  <c r="CC71" i="11"/>
  <c r="BV32" i="15" s="1"/>
  <c r="CC73" i="11"/>
  <c r="CC83" i="11"/>
  <c r="BV38" i="15" s="1"/>
  <c r="BX14" i="11"/>
  <c r="BR6" i="15" s="1"/>
  <c r="BX32" i="11"/>
  <c r="BR15" i="15" s="1"/>
  <c r="BX38" i="11"/>
  <c r="BR18" i="15" s="1"/>
  <c r="BX50" i="11"/>
  <c r="BR24" i="15"/>
  <c r="BX8" i="11"/>
  <c r="BR3" i="15" s="1"/>
  <c r="BX20" i="11"/>
  <c r="BR9" i="15" s="1"/>
  <c r="BX26" i="11"/>
  <c r="BR12" i="15" s="1"/>
  <c r="BX44" i="11"/>
  <c r="BR21" i="15" s="1"/>
  <c r="BX62" i="11"/>
  <c r="BR30" i="15" s="1"/>
  <c r="BX74" i="11"/>
  <c r="BR36" i="15" s="1"/>
  <c r="BX56" i="11"/>
  <c r="BR27" i="15" s="1"/>
  <c r="BX68" i="11"/>
  <c r="BR33" i="15"/>
  <c r="BX80" i="11"/>
  <c r="BR39" i="15" s="1"/>
  <c r="BW8" i="11"/>
  <c r="BQ3" i="15" s="1"/>
  <c r="BW14" i="11"/>
  <c r="BQ6" i="15" s="1"/>
  <c r="BW20" i="11"/>
  <c r="BQ9" i="15" s="1"/>
  <c r="BW26" i="11"/>
  <c r="BQ12" i="15" s="1"/>
  <c r="BW32" i="11"/>
  <c r="BQ15" i="15" s="1"/>
  <c r="BW38" i="11"/>
  <c r="BQ18" i="15" s="1"/>
  <c r="BW56" i="11"/>
  <c r="BQ27" i="15"/>
  <c r="BW68" i="11"/>
  <c r="BQ33" i="15" s="1"/>
  <c r="BW80" i="11"/>
  <c r="BQ39" i="15" s="1"/>
  <c r="BW44" i="11"/>
  <c r="BQ21" i="15" s="1"/>
  <c r="BW62" i="11"/>
  <c r="BQ30" i="15" s="1"/>
  <c r="BW74" i="11"/>
  <c r="BQ36" i="15" s="1"/>
  <c r="BW50" i="11"/>
  <c r="BQ24" i="15" s="1"/>
  <c r="BV8" i="11"/>
  <c r="BP3" i="15" s="1"/>
  <c r="BV20" i="11"/>
  <c r="BP9" i="15"/>
  <c r="BV26" i="11"/>
  <c r="BP12" i="15" s="1"/>
  <c r="BV38" i="11"/>
  <c r="BP18" i="15" s="1"/>
  <c r="BV14" i="11"/>
  <c r="BP6" i="15" s="1"/>
  <c r="BV44" i="11"/>
  <c r="BP21" i="15" s="1"/>
  <c r="BV32" i="11"/>
  <c r="BP15" i="15" s="1"/>
  <c r="BV50" i="11"/>
  <c r="BP24" i="15" s="1"/>
  <c r="BV56" i="11"/>
  <c r="BP27" i="15" s="1"/>
  <c r="BV68" i="11"/>
  <c r="BP33" i="15"/>
  <c r="BV80" i="11"/>
  <c r="BP39" i="15" s="1"/>
  <c r="BV62" i="11"/>
  <c r="BP30" i="15" s="1"/>
  <c r="BV74" i="11"/>
  <c r="BP36" i="15" s="1"/>
  <c r="BQ14" i="11"/>
  <c r="BK6" i="15" s="1"/>
  <c r="BQ8" i="11"/>
  <c r="BK3" i="15" s="1"/>
  <c r="BQ20" i="11"/>
  <c r="BK9" i="15" s="1"/>
  <c r="BQ26" i="11"/>
  <c r="BK12" i="15" s="1"/>
  <c r="BQ38" i="11"/>
  <c r="BK18" i="15"/>
  <c r="BQ32" i="11"/>
  <c r="BK15" i="15" s="1"/>
  <c r="BQ50" i="11"/>
  <c r="BK24" i="15" s="1"/>
  <c r="BQ62" i="11"/>
  <c r="BK30" i="15" s="1"/>
  <c r="BQ74" i="11"/>
  <c r="BK36" i="15" s="1"/>
  <c r="BQ44" i="11"/>
  <c r="BK21" i="15" s="1"/>
  <c r="BQ56" i="11"/>
  <c r="BK27" i="15" s="1"/>
  <c r="BQ68" i="11"/>
  <c r="BK33" i="15" s="1"/>
  <c r="BQ80" i="11"/>
  <c r="BK39" i="15" s="1"/>
  <c r="BO8" i="11"/>
  <c r="BI3" i="15" s="1"/>
  <c r="CA8" i="11"/>
  <c r="BO14" i="11"/>
  <c r="BI6" i="15" s="1"/>
  <c r="CA14" i="11"/>
  <c r="BO20" i="11"/>
  <c r="BI9" i="15" s="1"/>
  <c r="CA26" i="11"/>
  <c r="CA20" i="11"/>
  <c r="BO32" i="11"/>
  <c r="BI15" i="15" s="1"/>
  <c r="CA32" i="11"/>
  <c r="BO26" i="11"/>
  <c r="BI12" i="15" s="1"/>
  <c r="BO38" i="11"/>
  <c r="BI18" i="15" s="1"/>
  <c r="CA38" i="11"/>
  <c r="BO44" i="11"/>
  <c r="BI21" i="15" s="1"/>
  <c r="CA50" i="11"/>
  <c r="BO56" i="11"/>
  <c r="BI27" i="15" s="1"/>
  <c r="CA56" i="11"/>
  <c r="BO68" i="11"/>
  <c r="BI33" i="15" s="1"/>
  <c r="CA68" i="11"/>
  <c r="BO80" i="11"/>
  <c r="BI39" i="15"/>
  <c r="CA80" i="11"/>
  <c r="BO50" i="11"/>
  <c r="BI24" i="15" s="1"/>
  <c r="BO62" i="11"/>
  <c r="BI30" i="15" s="1"/>
  <c r="CA62" i="11"/>
  <c r="BO74" i="11"/>
  <c r="BI36" i="15" s="1"/>
  <c r="CA74" i="11"/>
  <c r="CA44" i="11"/>
  <c r="BM14" i="11"/>
  <c r="BH6" i="15" s="1"/>
  <c r="BM8" i="11"/>
  <c r="BH3" i="15" s="1"/>
  <c r="BM20" i="11"/>
  <c r="BH9" i="15" s="1"/>
  <c r="BM26" i="11"/>
  <c r="BH12" i="15" s="1"/>
  <c r="BM38" i="11"/>
  <c r="BH18" i="15" s="1"/>
  <c r="BM32" i="11"/>
  <c r="BH15" i="15" s="1"/>
  <c r="BM62" i="11"/>
  <c r="BH30" i="15"/>
  <c r="BM74" i="11"/>
  <c r="BH36" i="15" s="1"/>
  <c r="BM44" i="11"/>
  <c r="BH21" i="15" s="1"/>
  <c r="BM56" i="11"/>
  <c r="BH27" i="15" s="1"/>
  <c r="BM68" i="11"/>
  <c r="BH33" i="15" s="1"/>
  <c r="BM80" i="11"/>
  <c r="BH39" i="15" s="1"/>
  <c r="BM50" i="11"/>
  <c r="BH24" i="15" s="1"/>
  <c r="BL14" i="11"/>
  <c r="BG6" i="15" s="1"/>
  <c r="BL26" i="11"/>
  <c r="BG12" i="15"/>
  <c r="BL20" i="11"/>
  <c r="BG9" i="15" s="1"/>
  <c r="BL32" i="11"/>
  <c r="BG15" i="15" s="1"/>
  <c r="BL8" i="11"/>
  <c r="BG3" i="15" s="1"/>
  <c r="BL50" i="11"/>
  <c r="BG24" i="15" s="1"/>
  <c r="BL38" i="11"/>
  <c r="BG18" i="15" s="1"/>
  <c r="BL62" i="11"/>
  <c r="BG30" i="15" s="1"/>
  <c r="BL74" i="11"/>
  <c r="BG36" i="15" s="1"/>
  <c r="BL44" i="11"/>
  <c r="BG21" i="15"/>
  <c r="BL56" i="11"/>
  <c r="BG27" i="15" s="1"/>
  <c r="BL68" i="11"/>
  <c r="BG33" i="15" s="1"/>
  <c r="BL80" i="11"/>
  <c r="BG39" i="15" s="1"/>
  <c r="BI14" i="11"/>
  <c r="BD6" i="15" s="1"/>
  <c r="BI8" i="11"/>
  <c r="BD3" i="15" s="1"/>
  <c r="BI20" i="11"/>
  <c r="BD9" i="15" s="1"/>
  <c r="BI38" i="11"/>
  <c r="BD18" i="15" s="1"/>
  <c r="BI32" i="11"/>
  <c r="BD15" i="15"/>
  <c r="BI26" i="11"/>
  <c r="BD12" i="15" s="1"/>
  <c r="BI44" i="11"/>
  <c r="BD21" i="15" s="1"/>
  <c r="BI62" i="11"/>
  <c r="BD30" i="15" s="1"/>
  <c r="BI74" i="11"/>
  <c r="BD36" i="15" s="1"/>
  <c r="F62" i="14"/>
  <c r="BI50" i="11"/>
  <c r="BD24" i="15"/>
  <c r="BI56" i="11"/>
  <c r="BD27" i="15" s="1"/>
  <c r="BI68" i="11"/>
  <c r="BD33" i="15" s="1"/>
  <c r="BI80" i="11"/>
  <c r="BD39" i="15" s="1"/>
  <c r="BF6" i="3"/>
  <c r="BF6" i="4"/>
  <c r="BF6" i="5"/>
  <c r="BF6" i="6"/>
  <c r="BF6" i="9"/>
  <c r="BF6" i="7"/>
  <c r="BF6" i="8"/>
  <c r="BF7" i="11"/>
  <c r="BF10" i="11"/>
  <c r="BF22" i="11"/>
  <c r="BF11" i="11"/>
  <c r="BA2" i="15" s="1"/>
  <c r="BF13" i="11"/>
  <c r="BF23" i="11"/>
  <c r="BA8" i="15" s="1"/>
  <c r="BF25" i="11"/>
  <c r="BF16" i="11"/>
  <c r="BF19" i="11"/>
  <c r="BF17" i="11"/>
  <c r="BA5" i="15" s="1"/>
  <c r="BF28" i="11"/>
  <c r="BF29" i="11"/>
  <c r="BA11" i="15" s="1"/>
  <c r="BF31" i="11"/>
  <c r="BF46" i="11"/>
  <c r="BF34" i="11"/>
  <c r="BF37" i="11"/>
  <c r="BF35" i="11"/>
  <c r="BA14" i="15" s="1"/>
  <c r="BF40" i="11"/>
  <c r="BF41" i="11"/>
  <c r="BA17" i="15" s="1"/>
  <c r="BF43" i="11"/>
  <c r="BF52" i="11"/>
  <c r="BF53" i="11"/>
  <c r="BA23" i="15" s="1"/>
  <c r="BF55" i="11"/>
  <c r="BF65" i="11"/>
  <c r="BA29" i="15"/>
  <c r="BF67" i="11"/>
  <c r="BF77" i="11"/>
  <c r="BA35" i="15" s="1"/>
  <c r="BF79" i="11"/>
  <c r="BF58" i="11"/>
  <c r="BF70" i="11"/>
  <c r="BF82" i="11"/>
  <c r="BF13" i="12"/>
  <c r="BF59" i="11"/>
  <c r="BA26" i="15" s="1"/>
  <c r="BF61" i="11"/>
  <c r="BF71" i="11"/>
  <c r="BA32" i="15" s="1"/>
  <c r="BF73" i="11"/>
  <c r="BF47" i="11"/>
  <c r="BA20" i="15" s="1"/>
  <c r="BF49" i="11"/>
  <c r="BF64" i="11"/>
  <c r="BF76" i="11"/>
  <c r="BC8" i="11"/>
  <c r="AX3" i="15" s="1"/>
  <c r="BC14" i="11"/>
  <c r="AX6" i="15" s="1"/>
  <c r="BC26" i="11"/>
  <c r="AX12" i="15" s="1"/>
  <c r="BC20" i="11"/>
  <c r="AX9" i="15" s="1"/>
  <c r="BC32" i="11"/>
  <c r="AX15" i="15" s="1"/>
  <c r="BC38" i="11"/>
  <c r="AX18" i="15"/>
  <c r="BC56" i="11"/>
  <c r="AX27" i="15" s="1"/>
  <c r="BC68" i="11"/>
  <c r="AX33" i="15" s="1"/>
  <c r="BC80" i="11"/>
  <c r="AX39" i="15" s="1"/>
  <c r="BC44" i="11"/>
  <c r="AX21" i="15" s="1"/>
  <c r="F56" i="14"/>
  <c r="BC50" i="11"/>
  <c r="AX24" i="15" s="1"/>
  <c r="BC62" i="11"/>
  <c r="AX30" i="15" s="1"/>
  <c r="BC74" i="11"/>
  <c r="AX36" i="15" s="1"/>
  <c r="BB8" i="11"/>
  <c r="AW3" i="15" s="1"/>
  <c r="BN8" i="11"/>
  <c r="BB20" i="11"/>
  <c r="AW9" i="15" s="1"/>
  <c r="BN20" i="11"/>
  <c r="BB14" i="11"/>
  <c r="AW6" i="15" s="1"/>
  <c r="BN26" i="11"/>
  <c r="BN14" i="11"/>
  <c r="BB38" i="11"/>
  <c r="AW18" i="15" s="1"/>
  <c r="BN38" i="11"/>
  <c r="BB26" i="11"/>
  <c r="AW12" i="15" s="1"/>
  <c r="BB44" i="11"/>
  <c r="AW21" i="15"/>
  <c r="BN44" i="11"/>
  <c r="BN32" i="11"/>
  <c r="BB32" i="11"/>
  <c r="AW15" i="15"/>
  <c r="BB56" i="11"/>
  <c r="AW27" i="15" s="1"/>
  <c r="BN56" i="11"/>
  <c r="BB68" i="11"/>
  <c r="AW33" i="15"/>
  <c r="BN68" i="11"/>
  <c r="BB80" i="11"/>
  <c r="AW39" i="15" s="1"/>
  <c r="BN80" i="11"/>
  <c r="H55" i="14"/>
  <c r="BN50" i="11"/>
  <c r="BB50" i="11"/>
  <c r="AW24" i="15" s="1"/>
  <c r="BB62" i="11"/>
  <c r="AW30" i="15" s="1"/>
  <c r="BN62" i="11"/>
  <c r="BB74" i="11"/>
  <c r="AW36" i="15" s="1"/>
  <c r="BN74" i="11"/>
  <c r="F55" i="14"/>
  <c r="AZ14" i="11"/>
  <c r="AV6" i="15" s="1"/>
  <c r="AZ26" i="11"/>
  <c r="AV12" i="15" s="1"/>
  <c r="AZ8" i="11"/>
  <c r="AV3" i="15" s="1"/>
  <c r="AZ32" i="11"/>
  <c r="AV15" i="15"/>
  <c r="AZ38" i="11"/>
  <c r="AV18" i="15" s="1"/>
  <c r="AZ50" i="11"/>
  <c r="AV24" i="15" s="1"/>
  <c r="AZ20" i="11"/>
  <c r="AV9" i="15" s="1"/>
  <c r="AZ62" i="11"/>
  <c r="AV30" i="15" s="1"/>
  <c r="AZ74" i="11"/>
  <c r="AV36" i="15" s="1"/>
  <c r="AZ44" i="11"/>
  <c r="AV21" i="15" s="1"/>
  <c r="AZ56" i="11"/>
  <c r="AV27" i="15" s="1"/>
  <c r="AZ68" i="11"/>
  <c r="AV33" i="15"/>
  <c r="AZ80" i="11"/>
  <c r="AV39" i="15" s="1"/>
  <c r="F54" i="14"/>
  <c r="AW6" i="3"/>
  <c r="AW6" i="4"/>
  <c r="AW6" i="5"/>
  <c r="AW6" i="6"/>
  <c r="AW6" i="7"/>
  <c r="AW6" i="8"/>
  <c r="AW7" i="11"/>
  <c r="AW6" i="9"/>
  <c r="AW17" i="11"/>
  <c r="AS5" i="15"/>
  <c r="AW19" i="11"/>
  <c r="AW10" i="11"/>
  <c r="AW22" i="11"/>
  <c r="AW23" i="11"/>
  <c r="AS8" i="15" s="1"/>
  <c r="AW25" i="11"/>
  <c r="AW11" i="11"/>
  <c r="AS2" i="15" s="1"/>
  <c r="AW13" i="11"/>
  <c r="AW16" i="11"/>
  <c r="AW35" i="11"/>
  <c r="AS14" i="15" s="1"/>
  <c r="AW37" i="11"/>
  <c r="AW28" i="11"/>
  <c r="AW41" i="11"/>
  <c r="AS17" i="15" s="1"/>
  <c r="AW43" i="11"/>
  <c r="AW29" i="11"/>
  <c r="AS11" i="15" s="1"/>
  <c r="AW31" i="11"/>
  <c r="AW34" i="11"/>
  <c r="AW40" i="11"/>
  <c r="AW64" i="11"/>
  <c r="AW76" i="11"/>
  <c r="AW46" i="11"/>
  <c r="AW53" i="11"/>
  <c r="AS23" i="15" s="1"/>
  <c r="AW55" i="11"/>
  <c r="AW65" i="11"/>
  <c r="AS29" i="15" s="1"/>
  <c r="AW67" i="11"/>
  <c r="AW77" i="11"/>
  <c r="AS35" i="15" s="1"/>
  <c r="AW79" i="11"/>
  <c r="AW47" i="11"/>
  <c r="AS20" i="15" s="1"/>
  <c r="AW49" i="11"/>
  <c r="AW58" i="11"/>
  <c r="AW70" i="11"/>
  <c r="AW52" i="11"/>
  <c r="AW59" i="11"/>
  <c r="AS26" i="15" s="1"/>
  <c r="AW61" i="11"/>
  <c r="AW71" i="11"/>
  <c r="AS32" i="15" s="1"/>
  <c r="AW73" i="11"/>
  <c r="AW83" i="11"/>
  <c r="AS38" i="15" s="1"/>
  <c r="AL6" i="3"/>
  <c r="AL6" i="4"/>
  <c r="AL6" i="5"/>
  <c r="AL6" i="6"/>
  <c r="AL6" i="9"/>
  <c r="AL6" i="7"/>
  <c r="AL6" i="8"/>
  <c r="AL7" i="11"/>
  <c r="AL10" i="11"/>
  <c r="AL22" i="11"/>
  <c r="AL11" i="11"/>
  <c r="AI2" i="15" s="1"/>
  <c r="AL13" i="11"/>
  <c r="AL23" i="11"/>
  <c r="AI8" i="15"/>
  <c r="AL25" i="11"/>
  <c r="AL28" i="11"/>
  <c r="AL16" i="11"/>
  <c r="AL19" i="11"/>
  <c r="AL29" i="11"/>
  <c r="AI11" i="15" s="1"/>
  <c r="AL31" i="11"/>
  <c r="AL17" i="11"/>
  <c r="AI5" i="15"/>
  <c r="AL35" i="11"/>
  <c r="AI14" i="15" s="1"/>
  <c r="AL40" i="11"/>
  <c r="AL46" i="11"/>
  <c r="AL34" i="11"/>
  <c r="AL37" i="11"/>
  <c r="AL41" i="11"/>
  <c r="AI17" i="15" s="1"/>
  <c r="AL43" i="11"/>
  <c r="AL53" i="11"/>
  <c r="AI23" i="15"/>
  <c r="AL55" i="11"/>
  <c r="AL65" i="11"/>
  <c r="AI29" i="15" s="1"/>
  <c r="AL67" i="11"/>
  <c r="AL77" i="11"/>
  <c r="AI35" i="15" s="1"/>
  <c r="AL79" i="11"/>
  <c r="AL58" i="11"/>
  <c r="AL70" i="11"/>
  <c r="AL82" i="11"/>
  <c r="AL13" i="12"/>
  <c r="AL47" i="11"/>
  <c r="AI20" i="15" s="1"/>
  <c r="AL49" i="11"/>
  <c r="AL59" i="11"/>
  <c r="AI26" i="15"/>
  <c r="AL61" i="11"/>
  <c r="AL71" i="11"/>
  <c r="AI32" i="15" s="1"/>
  <c r="AL73" i="11"/>
  <c r="AL52" i="11"/>
  <c r="AL64" i="11"/>
  <c r="AL76" i="11"/>
  <c r="AI8" i="11"/>
  <c r="AF3" i="15"/>
  <c r="AI14" i="11"/>
  <c r="AF6" i="15" s="1"/>
  <c r="AI26" i="11"/>
  <c r="AF12" i="15" s="1"/>
  <c r="AI20" i="11"/>
  <c r="AF9" i="15" s="1"/>
  <c r="AI32" i="11"/>
  <c r="AF15" i="15" s="1"/>
  <c r="AI38" i="11"/>
  <c r="AF18" i="15" s="1"/>
  <c r="AI44" i="11"/>
  <c r="AF21" i="15" s="1"/>
  <c r="AI56" i="11"/>
  <c r="AF27" i="15" s="1"/>
  <c r="AI68" i="11"/>
  <c r="AF33" i="15"/>
  <c r="AI80" i="11"/>
  <c r="AF39" i="15" s="1"/>
  <c r="AI50" i="11"/>
  <c r="AF24" i="15" s="1"/>
  <c r="F38" i="14"/>
  <c r="AI62" i="11"/>
  <c r="AF30" i="15"/>
  <c r="AI74" i="11"/>
  <c r="AF36" i="15" s="1"/>
  <c r="AE8" i="11"/>
  <c r="AB3" i="15" s="1"/>
  <c r="AE14" i="11"/>
  <c r="AB6" i="15" s="1"/>
  <c r="AE26" i="11"/>
  <c r="AB12" i="15"/>
  <c r="AE20" i="11"/>
  <c r="AB9" i="15" s="1"/>
  <c r="AE32" i="11"/>
  <c r="AB15" i="15" s="1"/>
  <c r="AE38" i="11"/>
  <c r="AB18" i="15" s="1"/>
  <c r="AE50" i="11"/>
  <c r="AB24" i="15" s="1"/>
  <c r="AE56" i="11"/>
  <c r="AB27" i="15" s="1"/>
  <c r="AE68" i="11"/>
  <c r="AB33" i="15" s="1"/>
  <c r="AE80" i="11"/>
  <c r="AB39" i="15" s="1"/>
  <c r="F34" i="14"/>
  <c r="AE62" i="11"/>
  <c r="AB30" i="15" s="1"/>
  <c r="AE74" i="11"/>
  <c r="AB36" i="15" s="1"/>
  <c r="AE44" i="11"/>
  <c r="AB21" i="15" s="1"/>
  <c r="R6" i="3"/>
  <c r="R6" i="4"/>
  <c r="R6" i="5"/>
  <c r="R6" i="6"/>
  <c r="R6" i="9"/>
  <c r="R6" i="7"/>
  <c r="R6" i="8"/>
  <c r="R7" i="11"/>
  <c r="R10" i="11"/>
  <c r="R22" i="11"/>
  <c r="R11" i="11"/>
  <c r="P2" i="15" s="1"/>
  <c r="R13" i="11"/>
  <c r="R23" i="11"/>
  <c r="P8" i="15" s="1"/>
  <c r="R25" i="11"/>
  <c r="R16" i="11"/>
  <c r="R19" i="11"/>
  <c r="R17" i="11"/>
  <c r="P5" i="15"/>
  <c r="R28" i="11"/>
  <c r="R29" i="11"/>
  <c r="P11" i="15" s="1"/>
  <c r="R31" i="11"/>
  <c r="R46" i="11"/>
  <c r="R34" i="11"/>
  <c r="R37" i="11"/>
  <c r="R35" i="11"/>
  <c r="P14" i="15" s="1"/>
  <c r="R40" i="11"/>
  <c r="R41" i="11"/>
  <c r="P17" i="15" s="1"/>
  <c r="R43" i="11"/>
  <c r="R53" i="11"/>
  <c r="P23" i="15"/>
  <c r="R55" i="11"/>
  <c r="R65" i="11"/>
  <c r="P29" i="15" s="1"/>
  <c r="R67" i="11"/>
  <c r="R77" i="11"/>
  <c r="P35" i="15" s="1"/>
  <c r="R79" i="11"/>
  <c r="R47" i="11"/>
  <c r="P20" i="15" s="1"/>
  <c r="R49" i="11"/>
  <c r="R58" i="11"/>
  <c r="R70" i="11"/>
  <c r="R82" i="11"/>
  <c r="R13" i="12"/>
  <c r="R52" i="11"/>
  <c r="R59" i="11"/>
  <c r="P26" i="15" s="1"/>
  <c r="R61" i="11"/>
  <c r="R71" i="11"/>
  <c r="P32" i="15"/>
  <c r="R73" i="11"/>
  <c r="R64" i="11"/>
  <c r="R76" i="11"/>
  <c r="H6" i="3"/>
  <c r="H6" i="4"/>
  <c r="H6" i="5"/>
  <c r="H6" i="6"/>
  <c r="H6" i="7"/>
  <c r="H6" i="8"/>
  <c r="H6" i="9"/>
  <c r="H11" i="11"/>
  <c r="G2" i="15"/>
  <c r="H13" i="11"/>
  <c r="H16" i="11"/>
  <c r="H7" i="11"/>
  <c r="H17" i="11"/>
  <c r="G5" i="15" s="1"/>
  <c r="H19" i="11"/>
  <c r="H22" i="11"/>
  <c r="H23" i="11"/>
  <c r="G8" i="15" s="1"/>
  <c r="H25" i="11"/>
  <c r="H34" i="11"/>
  <c r="H35" i="11"/>
  <c r="G14" i="15" s="1"/>
  <c r="H37" i="11"/>
  <c r="H10" i="11"/>
  <c r="H52" i="11"/>
  <c r="H28" i="11"/>
  <c r="H41" i="11"/>
  <c r="G17" i="15" s="1"/>
  <c r="H43" i="11"/>
  <c r="H29" i="11"/>
  <c r="G11" i="15" s="1"/>
  <c r="H31" i="11"/>
  <c r="H40" i="11"/>
  <c r="H46" i="11"/>
  <c r="H59" i="11"/>
  <c r="G26" i="15" s="1"/>
  <c r="H61" i="11"/>
  <c r="H71" i="11"/>
  <c r="G32" i="15" s="1"/>
  <c r="H73" i="11"/>
  <c r="H47" i="11"/>
  <c r="G20" i="15" s="1"/>
  <c r="H49" i="11"/>
  <c r="H64" i="11"/>
  <c r="H76" i="11"/>
  <c r="H53" i="11"/>
  <c r="G23" i="15" s="1"/>
  <c r="H55" i="11"/>
  <c r="H65" i="11"/>
  <c r="G29" i="15"/>
  <c r="H67" i="11"/>
  <c r="H77" i="11"/>
  <c r="G35" i="15" s="1"/>
  <c r="H79" i="11"/>
  <c r="H58" i="11"/>
  <c r="H70" i="11"/>
  <c r="H82" i="11"/>
  <c r="H13" i="12"/>
  <c r="E14" i="11"/>
  <c r="D6" i="15" s="1"/>
  <c r="E8" i="11"/>
  <c r="D3" i="15" s="1"/>
  <c r="E20" i="11"/>
  <c r="D9" i="15" s="1"/>
  <c r="E38" i="11"/>
  <c r="D18" i="15"/>
  <c r="E32" i="11"/>
  <c r="D15" i="15" s="1"/>
  <c r="E26" i="11"/>
  <c r="D12" i="15" s="1"/>
  <c r="E44" i="11"/>
  <c r="D21" i="15" s="1"/>
  <c r="E50" i="11"/>
  <c r="D24" i="15" s="1"/>
  <c r="E62" i="11"/>
  <c r="D30" i="15" s="1"/>
  <c r="E74" i="11"/>
  <c r="D36" i="15" s="1"/>
  <c r="E56" i="11"/>
  <c r="D27" i="15" s="1"/>
  <c r="E68" i="11"/>
  <c r="D33" i="15" s="1"/>
  <c r="E80" i="11"/>
  <c r="D39" i="15" s="1"/>
  <c r="F10" i="14"/>
  <c r="G91" i="14"/>
  <c r="DC13" i="12"/>
  <c r="CE13" i="12"/>
  <c r="AL83" i="11"/>
  <c r="AI38" i="15" s="1"/>
  <c r="V83" i="11"/>
  <c r="T38" i="15" s="1"/>
  <c r="EC82" i="11"/>
  <c r="BY82" i="11"/>
  <c r="M82" i="11"/>
  <c r="EC80" i="11"/>
  <c r="DR39" i="15" s="1"/>
  <c r="DM80" i="11"/>
  <c r="DD39" i="15" s="1"/>
  <c r="EE8" i="11"/>
  <c r="DT3" i="15" s="1"/>
  <c r="EE14" i="11"/>
  <c r="DT6" i="15" s="1"/>
  <c r="EE20" i="11"/>
  <c r="DT9" i="15" s="1"/>
  <c r="EE32" i="11"/>
  <c r="DT15" i="15"/>
  <c r="EE38" i="11"/>
  <c r="DT18" i="15" s="1"/>
  <c r="EE26" i="11"/>
  <c r="DT12" i="15" s="1"/>
  <c r="EE56" i="11"/>
  <c r="DT27" i="15" s="1"/>
  <c r="EE68" i="11"/>
  <c r="DT33" i="15"/>
  <c r="EE44" i="11"/>
  <c r="DT21" i="15" s="1"/>
  <c r="EE50" i="11"/>
  <c r="DT24" i="15" s="1"/>
  <c r="EE62" i="11"/>
  <c r="DT30" i="15" s="1"/>
  <c r="EE74" i="11"/>
  <c r="DT36" i="15" s="1"/>
  <c r="EB14" i="11"/>
  <c r="DQ6" i="15" s="1"/>
  <c r="EN14" i="11"/>
  <c r="EB8" i="11"/>
  <c r="DQ3" i="15" s="1"/>
  <c r="EN20" i="11"/>
  <c r="EB32" i="11"/>
  <c r="DQ15" i="15"/>
  <c r="EN32" i="11"/>
  <c r="EN8" i="11"/>
  <c r="EB26" i="11"/>
  <c r="DQ12" i="15"/>
  <c r="EB50" i="11"/>
  <c r="DQ24" i="15" s="1"/>
  <c r="EN50" i="11"/>
  <c r="EN38" i="11"/>
  <c r="EN26" i="11"/>
  <c r="EB38" i="11"/>
  <c r="DQ18" i="15" s="1"/>
  <c r="EB20" i="11"/>
  <c r="DQ9" i="15" s="1"/>
  <c r="EB62" i="11"/>
  <c r="DQ30" i="15" s="1"/>
  <c r="EN62" i="11"/>
  <c r="EB74" i="11"/>
  <c r="DQ36" i="15" s="1"/>
  <c r="EN74" i="11"/>
  <c r="EN44" i="11"/>
  <c r="EB44" i="11"/>
  <c r="DQ21" i="15" s="1"/>
  <c r="EB56" i="11"/>
  <c r="DQ27" i="15" s="1"/>
  <c r="EN56" i="11"/>
  <c r="EB68" i="11"/>
  <c r="DQ33" i="15" s="1"/>
  <c r="EN68" i="11"/>
  <c r="EB80" i="11"/>
  <c r="DQ39" i="15" s="1"/>
  <c r="EN80" i="11"/>
  <c r="DE14" i="11"/>
  <c r="CV6" i="15" s="1"/>
  <c r="DE8" i="11"/>
  <c r="CV3" i="15" s="1"/>
  <c r="DE20" i="11"/>
  <c r="CV9" i="15" s="1"/>
  <c r="DE26" i="11"/>
  <c r="CV12" i="15"/>
  <c r="DE38" i="11"/>
  <c r="CV18" i="15" s="1"/>
  <c r="DE32" i="11"/>
  <c r="CV15" i="15" s="1"/>
  <c r="DE44" i="11"/>
  <c r="CV21" i="15" s="1"/>
  <c r="DE62" i="11"/>
  <c r="CV30" i="15" s="1"/>
  <c r="DE74" i="11"/>
  <c r="CV36" i="15" s="1"/>
  <c r="DE50" i="11"/>
  <c r="CV24" i="15" s="1"/>
  <c r="DE56" i="11"/>
  <c r="CV27" i="15" s="1"/>
  <c r="DE68" i="11"/>
  <c r="CV33" i="15" s="1"/>
  <c r="DE80" i="11"/>
  <c r="CV39" i="15" s="1"/>
  <c r="DD14" i="11"/>
  <c r="CU6" i="15" s="1"/>
  <c r="DD32" i="11"/>
  <c r="CU15" i="15" s="1"/>
  <c r="DD8" i="11"/>
  <c r="CU3" i="15"/>
  <c r="DD26" i="11"/>
  <c r="CU12" i="15" s="1"/>
  <c r="DD38" i="11"/>
  <c r="CU18" i="15" s="1"/>
  <c r="DD50" i="11"/>
  <c r="CU24" i="15" s="1"/>
  <c r="DD20" i="11"/>
  <c r="CU9" i="15"/>
  <c r="DD44" i="11"/>
  <c r="CU21" i="15" s="1"/>
  <c r="DD62" i="11"/>
  <c r="CU30" i="15" s="1"/>
  <c r="DD74" i="11"/>
  <c r="CU36" i="15" s="1"/>
  <c r="DD56" i="11"/>
  <c r="CU27" i="15" s="1"/>
  <c r="DD68" i="11"/>
  <c r="CU33" i="15" s="1"/>
  <c r="DD80" i="11"/>
  <c r="CU39" i="15" s="1"/>
  <c r="DC8" i="11"/>
  <c r="CT3" i="15" s="1"/>
  <c r="DC14" i="11"/>
  <c r="CT6" i="15" s="1"/>
  <c r="DC20" i="11"/>
  <c r="CT9" i="15" s="1"/>
  <c r="DC32" i="11"/>
  <c r="CT15" i="15" s="1"/>
  <c r="DC26" i="11"/>
  <c r="CT12" i="15" s="1"/>
  <c r="DC38" i="11"/>
  <c r="CT18" i="15"/>
  <c r="DC56" i="11"/>
  <c r="CT27" i="15" s="1"/>
  <c r="DC68" i="11"/>
  <c r="CT33" i="15" s="1"/>
  <c r="DC80" i="11"/>
  <c r="CT39" i="15" s="1"/>
  <c r="DC44" i="11"/>
  <c r="CT21" i="15"/>
  <c r="DC62" i="11"/>
  <c r="CT30" i="15" s="1"/>
  <c r="DC74" i="11"/>
  <c r="CT36" i="15" s="1"/>
  <c r="DC50" i="11"/>
  <c r="CT24" i="15" s="1"/>
  <c r="CK14" i="11"/>
  <c r="CD6" i="15" s="1"/>
  <c r="CK8" i="11"/>
  <c r="CD3" i="15" s="1"/>
  <c r="CK20" i="11"/>
  <c r="CD9" i="15" s="1"/>
  <c r="CK26" i="11"/>
  <c r="CD12" i="15" s="1"/>
  <c r="CK38" i="11"/>
  <c r="CD18" i="15" s="1"/>
  <c r="CK32" i="11"/>
  <c r="CD15" i="15" s="1"/>
  <c r="CK62" i="11"/>
  <c r="CD30" i="15" s="1"/>
  <c r="CK74" i="11"/>
  <c r="CD36" i="15" s="1"/>
  <c r="CK50" i="11"/>
  <c r="CD24" i="15" s="1"/>
  <c r="CK56" i="11"/>
  <c r="CD27" i="15" s="1"/>
  <c r="CK68" i="11"/>
  <c r="CD33" i="15" s="1"/>
  <c r="CK80" i="11"/>
  <c r="CD39" i="15" s="1"/>
  <c r="CK44" i="11"/>
  <c r="CD21" i="15" s="1"/>
  <c r="CJ14" i="11"/>
  <c r="CC6" i="15" s="1"/>
  <c r="CJ8" i="11"/>
  <c r="CC3" i="15" s="1"/>
  <c r="CJ20" i="11"/>
  <c r="CC9" i="15" s="1"/>
  <c r="CJ32" i="11"/>
  <c r="CC15" i="15" s="1"/>
  <c r="CJ26" i="11"/>
  <c r="CC12" i="15" s="1"/>
  <c r="CJ50" i="11"/>
  <c r="CC24" i="15" s="1"/>
  <c r="CJ38" i="11"/>
  <c r="CC18" i="15" s="1"/>
  <c r="CJ44" i="11"/>
  <c r="CC21" i="15" s="1"/>
  <c r="CJ62" i="11"/>
  <c r="CC30" i="15" s="1"/>
  <c r="CJ74" i="11"/>
  <c r="CC36" i="15" s="1"/>
  <c r="CJ56" i="11"/>
  <c r="CC27" i="15" s="1"/>
  <c r="CJ68" i="11"/>
  <c r="CC33" i="15" s="1"/>
  <c r="CJ80" i="11"/>
  <c r="CC39" i="15" s="1"/>
  <c r="CI8" i="11"/>
  <c r="CB3" i="15" s="1"/>
  <c r="CI14" i="11"/>
  <c r="CB6" i="15" s="1"/>
  <c r="CI26" i="11"/>
  <c r="CB12" i="15" s="1"/>
  <c r="CI20" i="11"/>
  <c r="CB9" i="15" s="1"/>
  <c r="CI32" i="11"/>
  <c r="CB15" i="15" s="1"/>
  <c r="CI38" i="11"/>
  <c r="CB18" i="15" s="1"/>
  <c r="CI56" i="11"/>
  <c r="CB27" i="15" s="1"/>
  <c r="CI68" i="11"/>
  <c r="CB33" i="15" s="1"/>
  <c r="CI80" i="11"/>
  <c r="CB39" i="15" s="1"/>
  <c r="CI44" i="11"/>
  <c r="CB21" i="15" s="1"/>
  <c r="CI50" i="11"/>
  <c r="CB24" i="15" s="1"/>
  <c r="CI62" i="11"/>
  <c r="CB30" i="15" s="1"/>
  <c r="CI74" i="11"/>
  <c r="CB36" i="15" s="1"/>
  <c r="CE8" i="11"/>
  <c r="BX3" i="15" s="1"/>
  <c r="CE14" i="11"/>
  <c r="BX6" i="15" s="1"/>
  <c r="CE20" i="11"/>
  <c r="BX9" i="15" s="1"/>
  <c r="CE26" i="11"/>
  <c r="BX12" i="15" s="1"/>
  <c r="CE32" i="11"/>
  <c r="BX15" i="15" s="1"/>
  <c r="CE38" i="11"/>
  <c r="BX18" i="15" s="1"/>
  <c r="CE44" i="11"/>
  <c r="BX21" i="15" s="1"/>
  <c r="CE56" i="11"/>
  <c r="BX27" i="15" s="1"/>
  <c r="CE68" i="11"/>
  <c r="BX33" i="15" s="1"/>
  <c r="CE80" i="11"/>
  <c r="BX39" i="15" s="1"/>
  <c r="CE50" i="11"/>
  <c r="BX24" i="15" s="1"/>
  <c r="CE62" i="11"/>
  <c r="BX30" i="15" s="1"/>
  <c r="CE74" i="11"/>
  <c r="BX36" i="15" s="1"/>
  <c r="CD8" i="11"/>
  <c r="BW3" i="15" s="1"/>
  <c r="CD20" i="11"/>
  <c r="BW9" i="15" s="1"/>
  <c r="CD14" i="11"/>
  <c r="BW6" i="15" s="1"/>
  <c r="CD26" i="11"/>
  <c r="BW12" i="15" s="1"/>
  <c r="CD38" i="11"/>
  <c r="BW18" i="15" s="1"/>
  <c r="CD44" i="11"/>
  <c r="BW21" i="15" s="1"/>
  <c r="CD32" i="11"/>
  <c r="BW15" i="15" s="1"/>
  <c r="CD56" i="11"/>
  <c r="BW27" i="15" s="1"/>
  <c r="CD68" i="11"/>
  <c r="BW33" i="15" s="1"/>
  <c r="CD80" i="11"/>
  <c r="BW39" i="15" s="1"/>
  <c r="CD50" i="11"/>
  <c r="BW24" i="15" s="1"/>
  <c r="CD62" i="11"/>
  <c r="BW30" i="15" s="1"/>
  <c r="CD74" i="11"/>
  <c r="BW36" i="15" s="1"/>
  <c r="CC14" i="11"/>
  <c r="BV6" i="15" s="1"/>
  <c r="CC8" i="11"/>
  <c r="BV3" i="15" s="1"/>
  <c r="CC20" i="11"/>
  <c r="BV9" i="15" s="1"/>
  <c r="CC26" i="11"/>
  <c r="BV12" i="15" s="1"/>
  <c r="CC38" i="11"/>
  <c r="BV18" i="15" s="1"/>
  <c r="CC32" i="11"/>
  <c r="BV15" i="15" s="1"/>
  <c r="CC62" i="11"/>
  <c r="BV30" i="15" s="1"/>
  <c r="CC74" i="11"/>
  <c r="BV36" i="15" s="1"/>
  <c r="CC44" i="11"/>
  <c r="BV21" i="15" s="1"/>
  <c r="CC56" i="11"/>
  <c r="BV27" i="15" s="1"/>
  <c r="CC68" i="11"/>
  <c r="BV33" i="15" s="1"/>
  <c r="CC80" i="11"/>
  <c r="BV39" i="15" s="1"/>
  <c r="CC50" i="11"/>
  <c r="BV24" i="15" s="1"/>
  <c r="BY14" i="11"/>
  <c r="BS6" i="15" s="1"/>
  <c r="BY8" i="11"/>
  <c r="BS3" i="15" s="1"/>
  <c r="BY20" i="11"/>
  <c r="BS9" i="15" s="1"/>
  <c r="BY26" i="11"/>
  <c r="BS12" i="15" s="1"/>
  <c r="BY38" i="11"/>
  <c r="BS18" i="15" s="1"/>
  <c r="BY32" i="11"/>
  <c r="BS15" i="15" s="1"/>
  <c r="BY44" i="11"/>
  <c r="BS21" i="15" s="1"/>
  <c r="BY62" i="11"/>
  <c r="BS30" i="15" s="1"/>
  <c r="BY74" i="11"/>
  <c r="BS36" i="15" s="1"/>
  <c r="BY50" i="11"/>
  <c r="BS24" i="15" s="1"/>
  <c r="BY56" i="11"/>
  <c r="BS27" i="15" s="1"/>
  <c r="BY68" i="11"/>
  <c r="BS33" i="15" s="1"/>
  <c r="BY80" i="11"/>
  <c r="BS39" i="15" s="1"/>
  <c r="AY8" i="11"/>
  <c r="AU3" i="15" s="1"/>
  <c r="AY14" i="11"/>
  <c r="AU6" i="15" s="1"/>
  <c r="AY26" i="11"/>
  <c r="AU12" i="15" s="1"/>
  <c r="AY20" i="11"/>
  <c r="AU9" i="15" s="1"/>
  <c r="AY32" i="11"/>
  <c r="AU15" i="15"/>
  <c r="AY38" i="11"/>
  <c r="AU18" i="15" s="1"/>
  <c r="AY44" i="11"/>
  <c r="AU21" i="15" s="1"/>
  <c r="AY56" i="11"/>
  <c r="AU27" i="15" s="1"/>
  <c r="AY68" i="11"/>
  <c r="AU33" i="15" s="1"/>
  <c r="AY80" i="11"/>
  <c r="AU39" i="15" s="1"/>
  <c r="AY50" i="11"/>
  <c r="AU24" i="15" s="1"/>
  <c r="F53" i="14"/>
  <c r="AY62" i="11"/>
  <c r="AU30" i="15" s="1"/>
  <c r="AY74" i="11"/>
  <c r="AU36" i="15" s="1"/>
  <c r="AU8" i="11"/>
  <c r="AQ3" i="15" s="1"/>
  <c r="AU14" i="11"/>
  <c r="AQ6" i="15" s="1"/>
  <c r="AU26" i="11"/>
  <c r="AQ12" i="15" s="1"/>
  <c r="AU20" i="11"/>
  <c r="AQ9" i="15" s="1"/>
  <c r="AU32" i="11"/>
  <c r="AQ15" i="15" s="1"/>
  <c r="AU38" i="11"/>
  <c r="AQ18" i="15" s="1"/>
  <c r="AU50" i="11"/>
  <c r="AQ24" i="15" s="1"/>
  <c r="AU56" i="11"/>
  <c r="AQ27" i="15" s="1"/>
  <c r="AU68" i="11"/>
  <c r="AQ33" i="15" s="1"/>
  <c r="AU80" i="11"/>
  <c r="AQ39" i="15"/>
  <c r="F49" i="14"/>
  <c r="AU62" i="11"/>
  <c r="AQ30" i="15" s="1"/>
  <c r="AU74" i="11"/>
  <c r="AQ36" i="15" s="1"/>
  <c r="AU44" i="11"/>
  <c r="AQ21" i="15" s="1"/>
  <c r="AR6" i="3"/>
  <c r="AR6" i="4"/>
  <c r="AR6" i="5"/>
  <c r="AR6" i="6"/>
  <c r="AR6" i="7"/>
  <c r="AR6" i="8"/>
  <c r="AR6" i="9"/>
  <c r="AR7" i="11"/>
  <c r="AR11" i="11"/>
  <c r="AN2" i="15" s="1"/>
  <c r="AR13" i="11"/>
  <c r="AR16" i="11"/>
  <c r="AR17" i="11"/>
  <c r="AN5" i="15" s="1"/>
  <c r="AR19" i="11"/>
  <c r="AR34" i="11"/>
  <c r="AR10" i="11"/>
  <c r="AR22" i="11"/>
  <c r="AR35" i="11"/>
  <c r="AN14" i="15" s="1"/>
  <c r="AR37" i="11"/>
  <c r="AR29" i="11"/>
  <c r="AN11" i="15" s="1"/>
  <c r="AR31" i="11"/>
  <c r="AR52" i="11"/>
  <c r="AR23" i="11"/>
  <c r="AN8" i="15" s="1"/>
  <c r="AR41" i="11"/>
  <c r="AN17" i="15"/>
  <c r="AR43" i="11"/>
  <c r="AR25" i="11"/>
  <c r="AR28" i="11"/>
  <c r="AR40" i="11"/>
  <c r="AR59" i="11"/>
  <c r="AN26" i="15" s="1"/>
  <c r="AR61" i="11"/>
  <c r="AR71" i="11"/>
  <c r="AN32" i="15"/>
  <c r="AR73" i="11"/>
  <c r="AR46" i="11"/>
  <c r="AR64" i="11"/>
  <c r="AR76" i="11"/>
  <c r="AR47" i="11"/>
  <c r="AN20" i="15" s="1"/>
  <c r="AR49" i="11"/>
  <c r="AR53" i="11"/>
  <c r="AN23" i="15" s="1"/>
  <c r="AR55" i="11"/>
  <c r="AR65" i="11"/>
  <c r="AN29" i="15" s="1"/>
  <c r="AR67" i="11"/>
  <c r="AR77" i="11"/>
  <c r="AN35" i="15"/>
  <c r="AR79" i="11"/>
  <c r="AR58" i="11"/>
  <c r="AR70" i="11"/>
  <c r="AR82" i="11"/>
  <c r="AR13" i="12"/>
  <c r="AD8" i="11"/>
  <c r="AA3" i="15" s="1"/>
  <c r="AD20" i="11"/>
  <c r="AA9" i="15" s="1"/>
  <c r="AD38" i="11"/>
  <c r="AA18" i="15" s="1"/>
  <c r="AD14" i="11"/>
  <c r="AA6" i="15" s="1"/>
  <c r="AD26" i="11"/>
  <c r="AA12" i="15" s="1"/>
  <c r="AD44" i="11"/>
  <c r="AA21" i="15" s="1"/>
  <c r="AD32" i="11"/>
  <c r="AA15" i="15" s="1"/>
  <c r="AD50" i="11"/>
  <c r="AA24" i="15" s="1"/>
  <c r="AD56" i="11"/>
  <c r="AA27" i="15" s="1"/>
  <c r="AD68" i="11"/>
  <c r="AA33" i="15" s="1"/>
  <c r="AD80" i="11"/>
  <c r="AA39" i="15" s="1"/>
  <c r="AD62" i="11"/>
  <c r="AA30" i="15" s="1"/>
  <c r="AD74" i="11"/>
  <c r="AA36" i="15" s="1"/>
  <c r="F33" i="14"/>
  <c r="AB14" i="11"/>
  <c r="Y6" i="15" s="1"/>
  <c r="AN14" i="11"/>
  <c r="AB26" i="11"/>
  <c r="Y12" i="15" s="1"/>
  <c r="AN26" i="11"/>
  <c r="AN8" i="11"/>
  <c r="AN20" i="11"/>
  <c r="AB32" i="11"/>
  <c r="Y15" i="15" s="1"/>
  <c r="AN32" i="11"/>
  <c r="AB20" i="11"/>
  <c r="Y9" i="15" s="1"/>
  <c r="AB38" i="11"/>
  <c r="Y18" i="15" s="1"/>
  <c r="AB50" i="11"/>
  <c r="Y24" i="15" s="1"/>
  <c r="AN50" i="11"/>
  <c r="AB8" i="11"/>
  <c r="Y3" i="15" s="1"/>
  <c r="AN38" i="11"/>
  <c r="AN44" i="11"/>
  <c r="AB44" i="11"/>
  <c r="Y21" i="15" s="1"/>
  <c r="AB62" i="11"/>
  <c r="Y30" i="15" s="1"/>
  <c r="AN62" i="11"/>
  <c r="AB74" i="11"/>
  <c r="Y36" i="15" s="1"/>
  <c r="AN74" i="11"/>
  <c r="F31" i="14"/>
  <c r="AB56" i="11"/>
  <c r="Y27" i="15" s="1"/>
  <c r="AN56" i="11"/>
  <c r="AB68" i="11"/>
  <c r="Y33" i="15"/>
  <c r="AN68" i="11"/>
  <c r="AB80" i="11"/>
  <c r="Y39" i="15" s="1"/>
  <c r="AN80" i="11"/>
  <c r="H31" i="14"/>
  <c r="X6" i="3"/>
  <c r="X6" i="4"/>
  <c r="X6" i="5"/>
  <c r="X6" i="6"/>
  <c r="X6" i="7"/>
  <c r="X6" i="8"/>
  <c r="X6" i="9"/>
  <c r="X11" i="11"/>
  <c r="V2" i="15" s="1"/>
  <c r="X13" i="11"/>
  <c r="X16" i="11"/>
  <c r="X7" i="11"/>
  <c r="X17" i="11"/>
  <c r="V5" i="15" s="1"/>
  <c r="X19" i="11"/>
  <c r="X22" i="11"/>
  <c r="X23" i="11"/>
  <c r="V8" i="15" s="1"/>
  <c r="X25" i="11"/>
  <c r="X34" i="11"/>
  <c r="X35" i="11"/>
  <c r="V14" i="15" s="1"/>
  <c r="X37" i="11"/>
  <c r="X52" i="11"/>
  <c r="X28" i="11"/>
  <c r="X41" i="11"/>
  <c r="V17" i="15" s="1"/>
  <c r="X43" i="11"/>
  <c r="X29" i="11"/>
  <c r="V11" i="15"/>
  <c r="X31" i="11"/>
  <c r="X40" i="11"/>
  <c r="X10" i="11"/>
  <c r="X46" i="11"/>
  <c r="X59" i="11"/>
  <c r="V26" i="15" s="1"/>
  <c r="X61" i="11"/>
  <c r="X71" i="11"/>
  <c r="V32" i="15" s="1"/>
  <c r="X73" i="11"/>
  <c r="X47" i="11"/>
  <c r="V20" i="15"/>
  <c r="X49" i="11"/>
  <c r="X64" i="11"/>
  <c r="X76" i="11"/>
  <c r="X53" i="11"/>
  <c r="V23" i="15" s="1"/>
  <c r="X55" i="11"/>
  <c r="X65" i="11"/>
  <c r="V29" i="15" s="1"/>
  <c r="X67" i="11"/>
  <c r="X77" i="11"/>
  <c r="V35" i="15" s="1"/>
  <c r="X79" i="11"/>
  <c r="X58" i="11"/>
  <c r="X70" i="11"/>
  <c r="X82" i="11"/>
  <c r="X13" i="12"/>
  <c r="U14" i="11"/>
  <c r="S6" i="15" s="1"/>
  <c r="U8" i="11"/>
  <c r="S3" i="15"/>
  <c r="U20" i="11"/>
  <c r="S9" i="15" s="1"/>
  <c r="U38" i="11"/>
  <c r="S18" i="15" s="1"/>
  <c r="U32" i="11"/>
  <c r="S15" i="15" s="1"/>
  <c r="U26" i="11"/>
  <c r="S12" i="15" s="1"/>
  <c r="U50" i="11"/>
  <c r="S24" i="15" s="1"/>
  <c r="U62" i="11"/>
  <c r="S30" i="15" s="1"/>
  <c r="U74" i="11"/>
  <c r="S36" i="15" s="1"/>
  <c r="F25" i="14"/>
  <c r="U44" i="11"/>
  <c r="S21" i="15" s="1"/>
  <c r="U56" i="11"/>
  <c r="S27" i="15" s="1"/>
  <c r="U68" i="11"/>
  <c r="S33" i="15" s="1"/>
  <c r="U80" i="11"/>
  <c r="S39" i="15" s="1"/>
  <c r="Q6" i="3"/>
  <c r="Q6" i="4"/>
  <c r="Q6" i="5"/>
  <c r="Q6" i="6"/>
  <c r="Q6" i="7"/>
  <c r="Q6" i="8"/>
  <c r="Q7" i="11"/>
  <c r="Q6" i="9"/>
  <c r="Q17" i="11"/>
  <c r="O5" i="15" s="1"/>
  <c r="Q19" i="11"/>
  <c r="Q10" i="11"/>
  <c r="Q22" i="11"/>
  <c r="Q23" i="11"/>
  <c r="O8" i="15"/>
  <c r="Q25" i="11"/>
  <c r="Q11" i="11"/>
  <c r="O2" i="15" s="1"/>
  <c r="Q13" i="11"/>
  <c r="Q16" i="11"/>
  <c r="Q35" i="11"/>
  <c r="O14" i="15" s="1"/>
  <c r="Q37" i="11"/>
  <c r="Q28" i="11"/>
  <c r="Q40" i="11"/>
  <c r="Q41" i="11"/>
  <c r="O17" i="15" s="1"/>
  <c r="Q43" i="11"/>
  <c r="Q29" i="11"/>
  <c r="O11" i="15" s="1"/>
  <c r="Q31" i="11"/>
  <c r="Q34" i="11"/>
  <c r="Q64" i="11"/>
  <c r="Q76" i="11"/>
  <c r="Q46" i="11"/>
  <c r="Q53" i="11"/>
  <c r="O23" i="15"/>
  <c r="Q55" i="11"/>
  <c r="Q65" i="11"/>
  <c r="O29" i="15" s="1"/>
  <c r="Q67" i="11"/>
  <c r="Q77" i="11"/>
  <c r="O35" i="15" s="1"/>
  <c r="Q79" i="11"/>
  <c r="Q47" i="11"/>
  <c r="O20" i="15" s="1"/>
  <c r="Q49" i="11"/>
  <c r="Q58" i="11"/>
  <c r="Q70" i="11"/>
  <c r="Q52" i="11"/>
  <c r="Q59" i="11"/>
  <c r="O26" i="15" s="1"/>
  <c r="Q61" i="11"/>
  <c r="Q71" i="11"/>
  <c r="O32" i="15" s="1"/>
  <c r="Q73" i="11"/>
  <c r="Q83" i="11"/>
  <c r="O38" i="15"/>
  <c r="O6" i="3"/>
  <c r="O6" i="4"/>
  <c r="O6" i="5"/>
  <c r="O6" i="6"/>
  <c r="O6" i="9"/>
  <c r="O6" i="7"/>
  <c r="O6" i="8"/>
  <c r="O10" i="11"/>
  <c r="O11" i="11"/>
  <c r="M2" i="15" s="1"/>
  <c r="AA11" i="11"/>
  <c r="O13" i="11"/>
  <c r="O23" i="11"/>
  <c r="M8" i="15" s="1"/>
  <c r="AA23" i="11"/>
  <c r="O25" i="11"/>
  <c r="O16" i="11"/>
  <c r="O7" i="11"/>
  <c r="AA17" i="11"/>
  <c r="O19" i="11"/>
  <c r="O22" i="11"/>
  <c r="O29" i="11"/>
  <c r="M11" i="15" s="1"/>
  <c r="AA29" i="11"/>
  <c r="O31" i="11"/>
  <c r="O17" i="11"/>
  <c r="M5" i="15" s="1"/>
  <c r="O34" i="11"/>
  <c r="O47" i="11"/>
  <c r="M20" i="15" s="1"/>
  <c r="AA47" i="11"/>
  <c r="O49" i="11"/>
  <c r="AA35" i="11"/>
  <c r="O40" i="11"/>
  <c r="O28" i="11"/>
  <c r="O37" i="11"/>
  <c r="O41" i="11"/>
  <c r="M17" i="15" s="1"/>
  <c r="AA41" i="11"/>
  <c r="O43" i="11"/>
  <c r="O35" i="11"/>
  <c r="M14" i="15" s="1"/>
  <c r="O52" i="11"/>
  <c r="O58" i="11"/>
  <c r="O70" i="11"/>
  <c r="O59" i="11"/>
  <c r="M26" i="15"/>
  <c r="AA59" i="11"/>
  <c r="O61" i="11"/>
  <c r="O71" i="11"/>
  <c r="M32" i="15"/>
  <c r="AA71" i="11"/>
  <c r="O73" i="11"/>
  <c r="O83" i="11"/>
  <c r="M38" i="15"/>
  <c r="AA83" i="11"/>
  <c r="O64" i="11"/>
  <c r="O76" i="11"/>
  <c r="O46" i="11"/>
  <c r="O53" i="11"/>
  <c r="M23" i="15" s="1"/>
  <c r="AA53" i="11"/>
  <c r="O55" i="11"/>
  <c r="O65" i="11"/>
  <c r="M29" i="15" s="1"/>
  <c r="AA65" i="11"/>
  <c r="O67" i="11"/>
  <c r="O77" i="11"/>
  <c r="M35" i="15" s="1"/>
  <c r="AA77" i="11"/>
  <c r="O79" i="11"/>
  <c r="K8" i="11"/>
  <c r="J3" i="15" s="1"/>
  <c r="K14" i="11"/>
  <c r="J6" i="15"/>
  <c r="K26" i="11"/>
  <c r="J12" i="15" s="1"/>
  <c r="K20" i="11"/>
  <c r="J9" i="15" s="1"/>
  <c r="K32" i="11"/>
  <c r="J15" i="15" s="1"/>
  <c r="K38" i="11"/>
  <c r="J18" i="15" s="1"/>
  <c r="K56" i="11"/>
  <c r="J27" i="15" s="1"/>
  <c r="K68" i="11"/>
  <c r="J33" i="15" s="1"/>
  <c r="K80" i="11"/>
  <c r="J39" i="15" s="1"/>
  <c r="K44" i="11"/>
  <c r="J21" i="15" s="1"/>
  <c r="K62" i="11"/>
  <c r="J30" i="15" s="1"/>
  <c r="K74" i="11"/>
  <c r="J36" i="15" s="1"/>
  <c r="K50" i="11"/>
  <c r="J24" i="15" s="1"/>
  <c r="F16" i="14"/>
  <c r="G6" i="3"/>
  <c r="G6" i="4"/>
  <c r="G6" i="5"/>
  <c r="G6" i="6"/>
  <c r="G6" i="9"/>
  <c r="G6" i="7"/>
  <c r="G6" i="8"/>
  <c r="G10" i="11"/>
  <c r="G11" i="11"/>
  <c r="F2" i="15" s="1"/>
  <c r="G13" i="11"/>
  <c r="G23" i="11"/>
  <c r="F8" i="15" s="1"/>
  <c r="G25" i="11"/>
  <c r="G16" i="11"/>
  <c r="G7" i="11"/>
  <c r="G19" i="11"/>
  <c r="G22" i="11"/>
  <c r="G29" i="11"/>
  <c r="F11" i="15" s="1"/>
  <c r="G31" i="11"/>
  <c r="G17" i="11"/>
  <c r="F5" i="15" s="1"/>
  <c r="G34" i="11"/>
  <c r="G47" i="11"/>
  <c r="F20" i="15" s="1"/>
  <c r="G49" i="11"/>
  <c r="G28" i="11"/>
  <c r="G37" i="11"/>
  <c r="G41" i="11"/>
  <c r="F17" i="15" s="1"/>
  <c r="G43" i="11"/>
  <c r="G35" i="11"/>
  <c r="F14" i="15" s="1"/>
  <c r="G40" i="11"/>
  <c r="G58" i="11"/>
  <c r="G70" i="11"/>
  <c r="G46" i="11"/>
  <c r="G59" i="11"/>
  <c r="F26" i="15" s="1"/>
  <c r="G61" i="11"/>
  <c r="G71" i="11"/>
  <c r="F32" i="15" s="1"/>
  <c r="G73" i="11"/>
  <c r="G83" i="11"/>
  <c r="F38" i="15" s="1"/>
  <c r="G52" i="11"/>
  <c r="G64" i="11"/>
  <c r="G76" i="11"/>
  <c r="G53" i="11"/>
  <c r="F23" i="15" s="1"/>
  <c r="G55" i="11"/>
  <c r="G65" i="11"/>
  <c r="F29" i="15"/>
  <c r="G67" i="11"/>
  <c r="G77" i="11"/>
  <c r="F35" i="15" s="1"/>
  <c r="G79" i="11"/>
  <c r="D14" i="11"/>
  <c r="C6" i="15" s="1"/>
  <c r="D26" i="11"/>
  <c r="C12" i="15" s="1"/>
  <c r="D8" i="11"/>
  <c r="C3" i="15" s="1"/>
  <c r="D32" i="11"/>
  <c r="C15" i="15" s="1"/>
  <c r="D38" i="11"/>
  <c r="C18" i="15" s="1"/>
  <c r="D50" i="11"/>
  <c r="C24" i="15" s="1"/>
  <c r="D20" i="11"/>
  <c r="C9" i="15" s="1"/>
  <c r="D62" i="11"/>
  <c r="C30" i="15" s="1"/>
  <c r="D74" i="11"/>
  <c r="C36" i="15" s="1"/>
  <c r="D44" i="11"/>
  <c r="C21" i="15"/>
  <c r="D56" i="11"/>
  <c r="C27" i="15" s="1"/>
  <c r="D68" i="11"/>
  <c r="C33" i="15" s="1"/>
  <c r="D80" i="11"/>
  <c r="C39" i="15" s="1"/>
  <c r="F9" i="14"/>
  <c r="F138" i="14"/>
  <c r="F137" i="14"/>
  <c r="H115" i="14"/>
  <c r="F109" i="14"/>
  <c r="F100" i="14"/>
  <c r="F69" i="14"/>
  <c r="H67" i="14"/>
  <c r="CJ83" i="11"/>
  <c r="CC38" i="15" s="1"/>
  <c r="AV83" i="11"/>
  <c r="AR38" i="15" s="1"/>
  <c r="AF83" i="11"/>
  <c r="AC38" i="15" s="1"/>
  <c r="X83" i="11"/>
  <c r="V38" i="15" s="1"/>
  <c r="H83" i="11"/>
  <c r="G38" i="15" s="1"/>
  <c r="EE82" i="11"/>
  <c r="CI82" i="11"/>
  <c r="O82" i="11"/>
  <c r="G82" i="11"/>
  <c r="EE80" i="11"/>
  <c r="DT39" i="15" s="1"/>
  <c r="DW80" i="11"/>
  <c r="DM39" i="15" s="1"/>
  <c r="DO80" i="11"/>
  <c r="DE39" i="15" s="1"/>
  <c r="EM8" i="11"/>
  <c r="EB3" i="15"/>
  <c r="EM14" i="11"/>
  <c r="EB6" i="15" s="1"/>
  <c r="EM20" i="11"/>
  <c r="EB9" i="15" s="1"/>
  <c r="EM32" i="11"/>
  <c r="EB15" i="15" s="1"/>
  <c r="EM38" i="11"/>
  <c r="EB18" i="15"/>
  <c r="EM26" i="11"/>
  <c r="EB12" i="15" s="1"/>
  <c r="EM50" i="11"/>
  <c r="EB24" i="15" s="1"/>
  <c r="EM56" i="11"/>
  <c r="EB27" i="15" s="1"/>
  <c r="EM68" i="11"/>
  <c r="EB33" i="15" s="1"/>
  <c r="EM62" i="11"/>
  <c r="EB30" i="15" s="1"/>
  <c r="EM74" i="11"/>
  <c r="EB36" i="15" s="1"/>
  <c r="EM44" i="11"/>
  <c r="EB21" i="15" s="1"/>
  <c r="EJ6" i="3"/>
  <c r="EJ6" i="4"/>
  <c r="EJ6" i="5"/>
  <c r="EJ6" i="6"/>
  <c r="EJ6" i="7"/>
  <c r="EJ6" i="8"/>
  <c r="EJ6" i="9"/>
  <c r="EJ11" i="11"/>
  <c r="DY2" i="15" s="1"/>
  <c r="EJ13" i="11"/>
  <c r="EJ16" i="11"/>
  <c r="EJ7" i="11"/>
  <c r="EJ17" i="11"/>
  <c r="DY5" i="15" s="1"/>
  <c r="EJ19" i="11"/>
  <c r="EJ34" i="11"/>
  <c r="EJ10" i="11"/>
  <c r="EJ22" i="11"/>
  <c r="EJ35" i="11"/>
  <c r="DY14" i="15" s="1"/>
  <c r="EJ37" i="11"/>
  <c r="EJ29" i="11"/>
  <c r="DY11" i="15"/>
  <c r="EJ31" i="11"/>
  <c r="EJ40" i="11"/>
  <c r="EJ23" i="11"/>
  <c r="DY8" i="15"/>
  <c r="EJ41" i="11"/>
  <c r="DY17" i="15" s="1"/>
  <c r="EJ43" i="11"/>
  <c r="EJ25" i="11"/>
  <c r="EJ28" i="11"/>
  <c r="EJ59" i="11"/>
  <c r="DY26" i="15" s="1"/>
  <c r="EJ61" i="11"/>
  <c r="EJ71" i="11"/>
  <c r="DY32" i="15"/>
  <c r="EJ73" i="11"/>
  <c r="EJ46" i="11"/>
  <c r="EJ52" i="11"/>
  <c r="EJ64" i="11"/>
  <c r="EJ76" i="11"/>
  <c r="EJ47" i="11"/>
  <c r="DY20" i="15" s="1"/>
  <c r="EJ49" i="11"/>
  <c r="EJ53" i="11"/>
  <c r="DY23" i="15" s="1"/>
  <c r="EJ55" i="11"/>
  <c r="EJ65" i="11"/>
  <c r="DY29" i="15" s="1"/>
  <c r="EJ67" i="11"/>
  <c r="EJ77" i="11"/>
  <c r="DY35" i="15" s="1"/>
  <c r="EJ79" i="11"/>
  <c r="EJ58" i="11"/>
  <c r="EJ70" i="11"/>
  <c r="EJ82" i="11"/>
  <c r="EJ13" i="12"/>
  <c r="EH8" i="11"/>
  <c r="DW3" i="15" s="1"/>
  <c r="EH20" i="11"/>
  <c r="DW9" i="15"/>
  <c r="EH26" i="11"/>
  <c r="DW12" i="15" s="1"/>
  <c r="EH14" i="11"/>
  <c r="DW6" i="15" s="1"/>
  <c r="EH44" i="11"/>
  <c r="DW21" i="15" s="1"/>
  <c r="EH32" i="11"/>
  <c r="DW15" i="15"/>
  <c r="EH38" i="11"/>
  <c r="DW18" i="15" s="1"/>
  <c r="EH50" i="11"/>
  <c r="DW24" i="15" s="1"/>
  <c r="EH56" i="11"/>
  <c r="DW27" i="15" s="1"/>
  <c r="EH68" i="11"/>
  <c r="DW33" i="15" s="1"/>
  <c r="EH80" i="11"/>
  <c r="DW39" i="15" s="1"/>
  <c r="EH62" i="11"/>
  <c r="DW30" i="15" s="1"/>
  <c r="EH74" i="11"/>
  <c r="DW36" i="15" s="1"/>
  <c r="EG14" i="11"/>
  <c r="DV6" i="15" s="1"/>
  <c r="EG8" i="11"/>
  <c r="DV3" i="15" s="1"/>
  <c r="EG20" i="11"/>
  <c r="DV9" i="15" s="1"/>
  <c r="EG26" i="11"/>
  <c r="DV12" i="15" s="1"/>
  <c r="EG38" i="11"/>
  <c r="DV18" i="15"/>
  <c r="EG32" i="11"/>
  <c r="DV15" i="15" s="1"/>
  <c r="EG62" i="11"/>
  <c r="DV30" i="15" s="1"/>
  <c r="EG74" i="11"/>
  <c r="DV36" i="15" s="1"/>
  <c r="EG50" i="11"/>
  <c r="DV24" i="15"/>
  <c r="EG56" i="11"/>
  <c r="DV27" i="15" s="1"/>
  <c r="EG68" i="11"/>
  <c r="DV33" i="15" s="1"/>
  <c r="EG44" i="11"/>
  <c r="DV21" i="15" s="1"/>
  <c r="EF14" i="11"/>
  <c r="DU6" i="15" s="1"/>
  <c r="EF8" i="11"/>
  <c r="DU3" i="15" s="1"/>
  <c r="EF20" i="11"/>
  <c r="DU9" i="15" s="1"/>
  <c r="EF32" i="11"/>
  <c r="DU15" i="15" s="1"/>
  <c r="EF50" i="11"/>
  <c r="DU24" i="15" s="1"/>
  <c r="EF26" i="11"/>
  <c r="DU12" i="15" s="1"/>
  <c r="EF38" i="11"/>
  <c r="DU18" i="15" s="1"/>
  <c r="EF44" i="11"/>
  <c r="DU21" i="15" s="1"/>
  <c r="EF62" i="11"/>
  <c r="DU30" i="15"/>
  <c r="EF74" i="11"/>
  <c r="DU36" i="15" s="1"/>
  <c r="EF56" i="11"/>
  <c r="DU27" i="15" s="1"/>
  <c r="EF68" i="11"/>
  <c r="DU33" i="15" s="1"/>
  <c r="EF80" i="11"/>
  <c r="DU39" i="15"/>
  <c r="EC6" i="3"/>
  <c r="EC6" i="4"/>
  <c r="EC6" i="5"/>
  <c r="EC6" i="6"/>
  <c r="EC6" i="7"/>
  <c r="EC6" i="8"/>
  <c r="EC6" i="9"/>
  <c r="EC7" i="11"/>
  <c r="EC17" i="11"/>
  <c r="DR5" i="15" s="1"/>
  <c r="EC19" i="11"/>
  <c r="EC10" i="11"/>
  <c r="EC22" i="11"/>
  <c r="EC11" i="11"/>
  <c r="DR2" i="15" s="1"/>
  <c r="EC13" i="11"/>
  <c r="EC35" i="11"/>
  <c r="DR14" i="15" s="1"/>
  <c r="EC37" i="11"/>
  <c r="EC23" i="11"/>
  <c r="DR8" i="15" s="1"/>
  <c r="EC25" i="11"/>
  <c r="EC28" i="11"/>
  <c r="EC34" i="11"/>
  <c r="EC41" i="11"/>
  <c r="DR17" i="15" s="1"/>
  <c r="EC43" i="11"/>
  <c r="EC16" i="11"/>
  <c r="EC29" i="11"/>
  <c r="DR11" i="15" s="1"/>
  <c r="EC31" i="11"/>
  <c r="EC40" i="11"/>
  <c r="EC52" i="11"/>
  <c r="EC64" i="11"/>
  <c r="EC76" i="11"/>
  <c r="EC53" i="11"/>
  <c r="DR23" i="15" s="1"/>
  <c r="EC55" i="11"/>
  <c r="EC65" i="11"/>
  <c r="DR29" i="15" s="1"/>
  <c r="EC67" i="11"/>
  <c r="EC77" i="11"/>
  <c r="DR35" i="15"/>
  <c r="EC79" i="11"/>
  <c r="EC46" i="11"/>
  <c r="EC58" i="11"/>
  <c r="EC70" i="11"/>
  <c r="EC47" i="11"/>
  <c r="DR20" i="15" s="1"/>
  <c r="EC49" i="11"/>
  <c r="EC59" i="11"/>
  <c r="DR26" i="15"/>
  <c r="EC61" i="11"/>
  <c r="EC71" i="11"/>
  <c r="DR32" i="15" s="1"/>
  <c r="EC73" i="11"/>
  <c r="EC83" i="11"/>
  <c r="DR38" i="15" s="1"/>
  <c r="EN13" i="11"/>
  <c r="EN64" i="11"/>
  <c r="DY6" i="3"/>
  <c r="DY6" i="5"/>
  <c r="DY6" i="6"/>
  <c r="DY6" i="4"/>
  <c r="DY6" i="7"/>
  <c r="DY6" i="8"/>
  <c r="DY7" i="11"/>
  <c r="DY17" i="11"/>
  <c r="DO5" i="15" s="1"/>
  <c r="DY19" i="11"/>
  <c r="DY6" i="9"/>
  <c r="DY10" i="11"/>
  <c r="DY22" i="11"/>
  <c r="DY23" i="11"/>
  <c r="DO8" i="15" s="1"/>
  <c r="DY25" i="11"/>
  <c r="DY11" i="11"/>
  <c r="DO2" i="15" s="1"/>
  <c r="DY13" i="11"/>
  <c r="DY16" i="11"/>
  <c r="DY35" i="11"/>
  <c r="DO14" i="15" s="1"/>
  <c r="DY37" i="11"/>
  <c r="DY28" i="11"/>
  <c r="DY41" i="11"/>
  <c r="DO17" i="15" s="1"/>
  <c r="DY43" i="11"/>
  <c r="DY29" i="11"/>
  <c r="DO11" i="15" s="1"/>
  <c r="DY31" i="11"/>
  <c r="DY34" i="11"/>
  <c r="DY40" i="11"/>
  <c r="DY52" i="11"/>
  <c r="DY64" i="11"/>
  <c r="DY76" i="11"/>
  <c r="DY46" i="11"/>
  <c r="DY53" i="11"/>
  <c r="DO23" i="15" s="1"/>
  <c r="DY55" i="11"/>
  <c r="DY65" i="11"/>
  <c r="DO29" i="15"/>
  <c r="DY67" i="11"/>
  <c r="DY77" i="11"/>
  <c r="DO35" i="15" s="1"/>
  <c r="DY79" i="11"/>
  <c r="DY47" i="11"/>
  <c r="DO20" i="15" s="1"/>
  <c r="DY49" i="11"/>
  <c r="DY58" i="11"/>
  <c r="DY70" i="11"/>
  <c r="DY59" i="11"/>
  <c r="DO26" i="15" s="1"/>
  <c r="DY61" i="11"/>
  <c r="DY71" i="11"/>
  <c r="DO32" i="15"/>
  <c r="DY73" i="11"/>
  <c r="DY83" i="11"/>
  <c r="DO38" i="15" s="1"/>
  <c r="DX14" i="11"/>
  <c r="DN6" i="15"/>
  <c r="DX20" i="11"/>
  <c r="DN9" i="15" s="1"/>
  <c r="DX32" i="11"/>
  <c r="DN15" i="15" s="1"/>
  <c r="DX8" i="11"/>
  <c r="DN3" i="15" s="1"/>
  <c r="DX50" i="11"/>
  <c r="DN24" i="15" s="1"/>
  <c r="DX38" i="11"/>
  <c r="DN18" i="15" s="1"/>
  <c r="DX26" i="11"/>
  <c r="DN12" i="15" s="1"/>
  <c r="DX62" i="11"/>
  <c r="DN30" i="15" s="1"/>
  <c r="DX74" i="11"/>
  <c r="DN36" i="15" s="1"/>
  <c r="DX44" i="11"/>
  <c r="DN21" i="15" s="1"/>
  <c r="DX56" i="11"/>
  <c r="DN27" i="15" s="1"/>
  <c r="DX68" i="11"/>
  <c r="DN33" i="15" s="1"/>
  <c r="DX80" i="11"/>
  <c r="DN39" i="15"/>
  <c r="DT6" i="3"/>
  <c r="DT6" i="4"/>
  <c r="DT6" i="5"/>
  <c r="DT6" i="6"/>
  <c r="DT6" i="7"/>
  <c r="DT6" i="8"/>
  <c r="DT6" i="9"/>
  <c r="DT11" i="11"/>
  <c r="DJ2" i="15" s="1"/>
  <c r="DT13" i="11"/>
  <c r="DT16" i="11"/>
  <c r="DT7" i="11"/>
  <c r="DT17" i="11"/>
  <c r="DJ5" i="15"/>
  <c r="DT19" i="11"/>
  <c r="DT34" i="11"/>
  <c r="DT10" i="11"/>
  <c r="DT22" i="11"/>
  <c r="DT35" i="11"/>
  <c r="DJ14" i="15" s="1"/>
  <c r="DT37" i="11"/>
  <c r="DT25" i="11"/>
  <c r="DT29" i="11"/>
  <c r="DJ11" i="15" s="1"/>
  <c r="DT31" i="11"/>
  <c r="DT40" i="11"/>
  <c r="DT41" i="11"/>
  <c r="DJ17" i="15" s="1"/>
  <c r="DT43" i="11"/>
  <c r="DT23" i="11"/>
  <c r="DJ8" i="15" s="1"/>
  <c r="DT28" i="11"/>
  <c r="DT59" i="11"/>
  <c r="DJ26" i="15"/>
  <c r="DT61" i="11"/>
  <c r="DT71" i="11"/>
  <c r="DJ32" i="15" s="1"/>
  <c r="DT73" i="11"/>
  <c r="DT46" i="11"/>
  <c r="DT52" i="11"/>
  <c r="DT64" i="11"/>
  <c r="DT76" i="11"/>
  <c r="DT47" i="11"/>
  <c r="DJ20" i="15" s="1"/>
  <c r="DT49" i="11"/>
  <c r="DT53" i="11"/>
  <c r="DJ23" i="15" s="1"/>
  <c r="DT55" i="11"/>
  <c r="DT65" i="11"/>
  <c r="DJ29" i="15" s="1"/>
  <c r="DT67" i="11"/>
  <c r="DT77" i="11"/>
  <c r="DJ35" i="15" s="1"/>
  <c r="DT79" i="11"/>
  <c r="DT58" i="11"/>
  <c r="DT70" i="11"/>
  <c r="DT82" i="11"/>
  <c r="DT13" i="12"/>
  <c r="DS6" i="3"/>
  <c r="DS6" i="4"/>
  <c r="DS6" i="5"/>
  <c r="DS6" i="6"/>
  <c r="DS6" i="9"/>
  <c r="DS6" i="7"/>
  <c r="DS6" i="8"/>
  <c r="DS10" i="11"/>
  <c r="DS11" i="11"/>
  <c r="DI2" i="15" s="1"/>
  <c r="DS13" i="11"/>
  <c r="DS23" i="11"/>
  <c r="DI8" i="15"/>
  <c r="DS25" i="11"/>
  <c r="DS16" i="11"/>
  <c r="DS17" i="11"/>
  <c r="DI5" i="15"/>
  <c r="DS29" i="11"/>
  <c r="DI11" i="15" s="1"/>
  <c r="DS31" i="11"/>
  <c r="DS34" i="11"/>
  <c r="DS7" i="11"/>
  <c r="DS28" i="11"/>
  <c r="DS37" i="11"/>
  <c r="DS47" i="11"/>
  <c r="DI20" i="15" s="1"/>
  <c r="DS49" i="11"/>
  <c r="DS22" i="11"/>
  <c r="DS35" i="11"/>
  <c r="DI14" i="15" s="1"/>
  <c r="DS40" i="11"/>
  <c r="DS19" i="11"/>
  <c r="DS41" i="11"/>
  <c r="DI17" i="15" s="1"/>
  <c r="DS58" i="11"/>
  <c r="DS70" i="11"/>
  <c r="DS59" i="11"/>
  <c r="DI26" i="15" s="1"/>
  <c r="DS61" i="11"/>
  <c r="DS71" i="11"/>
  <c r="DI32" i="15"/>
  <c r="DS73" i="11"/>
  <c r="DS83" i="11"/>
  <c r="DI38" i="15" s="1"/>
  <c r="DS43" i="11"/>
  <c r="DS46" i="11"/>
  <c r="DS52" i="11"/>
  <c r="DS64" i="11"/>
  <c r="DS76" i="11"/>
  <c r="DS53" i="11"/>
  <c r="DI23" i="15" s="1"/>
  <c r="DS55" i="11"/>
  <c r="DS65" i="11"/>
  <c r="DI29" i="15" s="1"/>
  <c r="DS67" i="11"/>
  <c r="DS77" i="11"/>
  <c r="DI35" i="15" s="1"/>
  <c r="DS79" i="11"/>
  <c r="DR8" i="11"/>
  <c r="DH3" i="15"/>
  <c r="DR20" i="11"/>
  <c r="DH9" i="15" s="1"/>
  <c r="DR26" i="11"/>
  <c r="DH12" i="15" s="1"/>
  <c r="DR44" i="11"/>
  <c r="DH21" i="15" s="1"/>
  <c r="DR14" i="11"/>
  <c r="DH6" i="15" s="1"/>
  <c r="DR32" i="11"/>
  <c r="DH15" i="15" s="1"/>
  <c r="DR38" i="11"/>
  <c r="DH18" i="15" s="1"/>
  <c r="DR50" i="11"/>
  <c r="DH24" i="15" s="1"/>
  <c r="DR56" i="11"/>
  <c r="DH27" i="15" s="1"/>
  <c r="DR68" i="11"/>
  <c r="DH33" i="15" s="1"/>
  <c r="DR80" i="11"/>
  <c r="DH39" i="15" s="1"/>
  <c r="DR62" i="11"/>
  <c r="DH30" i="15" s="1"/>
  <c r="DR74" i="11"/>
  <c r="DH36" i="15"/>
  <c r="DQ14" i="11"/>
  <c r="DG6" i="15" s="1"/>
  <c r="DQ8" i="11"/>
  <c r="DG3" i="15" s="1"/>
  <c r="DQ20" i="11"/>
  <c r="DG9" i="15" s="1"/>
  <c r="DQ26" i="11"/>
  <c r="DG12" i="15"/>
  <c r="DQ38" i="11"/>
  <c r="DG18" i="15" s="1"/>
  <c r="DQ32" i="11"/>
  <c r="DG15" i="15" s="1"/>
  <c r="DQ62" i="11"/>
  <c r="DG30" i="15" s="1"/>
  <c r="DQ74" i="11"/>
  <c r="DG36" i="15" s="1"/>
  <c r="DQ50" i="11"/>
  <c r="DG24" i="15" s="1"/>
  <c r="DQ56" i="11"/>
  <c r="DG27" i="15" s="1"/>
  <c r="DQ68" i="11"/>
  <c r="DG33" i="15" s="1"/>
  <c r="DQ44" i="11"/>
  <c r="DG21" i="15" s="1"/>
  <c r="DP14" i="11"/>
  <c r="DF6" i="15" s="1"/>
  <c r="DP8" i="11"/>
  <c r="DF3" i="15" s="1"/>
  <c r="DP20" i="11"/>
  <c r="DF9" i="15" s="1"/>
  <c r="DP32" i="11"/>
  <c r="DF15" i="15"/>
  <c r="DP50" i="11"/>
  <c r="DF24" i="15" s="1"/>
  <c r="DP26" i="11"/>
  <c r="DF12" i="15" s="1"/>
  <c r="DP38" i="11"/>
  <c r="DF18" i="15" s="1"/>
  <c r="DP44" i="11"/>
  <c r="DF21" i="15"/>
  <c r="DP62" i="11"/>
  <c r="DF30" i="15" s="1"/>
  <c r="DP74" i="11"/>
  <c r="DF36" i="15" s="1"/>
  <c r="DP56" i="11"/>
  <c r="DF27" i="15" s="1"/>
  <c r="DP68" i="11"/>
  <c r="DF33" i="15" s="1"/>
  <c r="DP80" i="11"/>
  <c r="DF39" i="15" s="1"/>
  <c r="DK6" i="3"/>
  <c r="DK6" i="4"/>
  <c r="DK6" i="5"/>
  <c r="DK6" i="6"/>
  <c r="DK6" i="9"/>
  <c r="DK6" i="7"/>
  <c r="DK6" i="8"/>
  <c r="DK10" i="11"/>
  <c r="DK11" i="11"/>
  <c r="DB2" i="15" s="1"/>
  <c r="DK13" i="11"/>
  <c r="DK23" i="11"/>
  <c r="DB8" i="15" s="1"/>
  <c r="DK25" i="11"/>
  <c r="DK16" i="11"/>
  <c r="DK17" i="11"/>
  <c r="DB5" i="15" s="1"/>
  <c r="DK7" i="11"/>
  <c r="DK29" i="11"/>
  <c r="DB11" i="15" s="1"/>
  <c r="DK31" i="11"/>
  <c r="DK34" i="11"/>
  <c r="DK28" i="11"/>
  <c r="DK37" i="11"/>
  <c r="DK47" i="11"/>
  <c r="DB20" i="15" s="1"/>
  <c r="DK49" i="11"/>
  <c r="DK35" i="11"/>
  <c r="DB14" i="15" s="1"/>
  <c r="DK40" i="11"/>
  <c r="DK22" i="11"/>
  <c r="DK41" i="11"/>
  <c r="DB17" i="15" s="1"/>
  <c r="DK19" i="11"/>
  <c r="DK46" i="11"/>
  <c r="DK58" i="11"/>
  <c r="DK70" i="11"/>
  <c r="DK59" i="11"/>
  <c r="DB26" i="15" s="1"/>
  <c r="DK61" i="11"/>
  <c r="DK71" i="11"/>
  <c r="DB32" i="15"/>
  <c r="DK73" i="11"/>
  <c r="DK83" i="11"/>
  <c r="DB38" i="15" s="1"/>
  <c r="DK43" i="11"/>
  <c r="DK52" i="11"/>
  <c r="DK64" i="11"/>
  <c r="DK76" i="11"/>
  <c r="DK53" i="11"/>
  <c r="DB23" i="15" s="1"/>
  <c r="DK55" i="11"/>
  <c r="DK65" i="11"/>
  <c r="DB29" i="15" s="1"/>
  <c r="DK67" i="11"/>
  <c r="DK77" i="11"/>
  <c r="DB35" i="15" s="1"/>
  <c r="DK79" i="11"/>
  <c r="DJ41" i="11"/>
  <c r="DA17" i="15" s="1"/>
  <c r="DJ61" i="11"/>
  <c r="DI6" i="3"/>
  <c r="DI6" i="5"/>
  <c r="DI6" i="6"/>
  <c r="DI6" i="4"/>
  <c r="DI6" i="7"/>
  <c r="DI6" i="8"/>
  <c r="DI6" i="9"/>
  <c r="DI7" i="11"/>
  <c r="DI17" i="11"/>
  <c r="CZ5" i="15"/>
  <c r="DI19" i="11"/>
  <c r="DI10" i="11"/>
  <c r="DI22" i="11"/>
  <c r="DI23" i="11"/>
  <c r="CZ8" i="15" s="1"/>
  <c r="DI25" i="11"/>
  <c r="DI11" i="11"/>
  <c r="CZ2" i="15" s="1"/>
  <c r="DI13" i="11"/>
  <c r="DI16" i="11"/>
  <c r="DI35" i="11"/>
  <c r="CZ14" i="15" s="1"/>
  <c r="DI37" i="11"/>
  <c r="DI28" i="11"/>
  <c r="DI41" i="11"/>
  <c r="CZ17" i="15" s="1"/>
  <c r="DI43" i="11"/>
  <c r="DI29" i="11"/>
  <c r="CZ11" i="15"/>
  <c r="DI31" i="11"/>
  <c r="DI34" i="11"/>
  <c r="DI40" i="11"/>
  <c r="DI52" i="11"/>
  <c r="DI64" i="11"/>
  <c r="DI76" i="11"/>
  <c r="DI46" i="11"/>
  <c r="DI53" i="11"/>
  <c r="CZ23" i="15" s="1"/>
  <c r="DI55" i="11"/>
  <c r="DI65" i="11"/>
  <c r="CZ29" i="15" s="1"/>
  <c r="DI67" i="11"/>
  <c r="DI77" i="11"/>
  <c r="CZ35" i="15" s="1"/>
  <c r="DI79" i="11"/>
  <c r="DI47" i="11"/>
  <c r="CZ20" i="15" s="1"/>
  <c r="DI49" i="11"/>
  <c r="DI58" i="11"/>
  <c r="DI70" i="11"/>
  <c r="DI59" i="11"/>
  <c r="CZ26" i="15" s="1"/>
  <c r="DI61" i="11"/>
  <c r="DI71" i="11"/>
  <c r="CZ32" i="15" s="1"/>
  <c r="DI73" i="11"/>
  <c r="DI83" i="11"/>
  <c r="CZ38" i="15"/>
  <c r="CZ6" i="3"/>
  <c r="CZ6" i="4"/>
  <c r="CZ6" i="5"/>
  <c r="CZ6" i="6"/>
  <c r="CZ6" i="7"/>
  <c r="CZ6" i="8"/>
  <c r="CZ6" i="9"/>
  <c r="CZ11" i="11"/>
  <c r="CR2" i="15" s="1"/>
  <c r="CZ13" i="11"/>
  <c r="CZ16" i="11"/>
  <c r="CZ7" i="11"/>
  <c r="CZ17" i="11"/>
  <c r="CR5" i="15" s="1"/>
  <c r="CZ19" i="11"/>
  <c r="CZ22" i="11"/>
  <c r="CZ23" i="11"/>
  <c r="CR8" i="15" s="1"/>
  <c r="CZ25" i="11"/>
  <c r="CZ34" i="11"/>
  <c r="CZ35" i="11"/>
  <c r="CR14" i="15" s="1"/>
  <c r="CZ37" i="11"/>
  <c r="CZ40" i="11"/>
  <c r="CZ28" i="11"/>
  <c r="CZ41" i="11"/>
  <c r="CR17" i="15" s="1"/>
  <c r="CZ43" i="11"/>
  <c r="CZ10" i="11"/>
  <c r="CZ29" i="11"/>
  <c r="CR11" i="15" s="1"/>
  <c r="CZ31" i="11"/>
  <c r="CZ46" i="11"/>
  <c r="CZ59" i="11"/>
  <c r="CR26" i="15" s="1"/>
  <c r="CZ61" i="11"/>
  <c r="CZ71" i="11"/>
  <c r="CR32" i="15" s="1"/>
  <c r="CZ73" i="11"/>
  <c r="CZ47" i="11"/>
  <c r="CR20" i="15" s="1"/>
  <c r="CZ49" i="11"/>
  <c r="CZ52" i="11"/>
  <c r="CZ64" i="11"/>
  <c r="CZ76" i="11"/>
  <c r="CZ53" i="11"/>
  <c r="CR23" i="15"/>
  <c r="CZ55" i="11"/>
  <c r="CZ65" i="11"/>
  <c r="CR29" i="15" s="1"/>
  <c r="CZ67" i="11"/>
  <c r="CZ77" i="11"/>
  <c r="CR35" i="15" s="1"/>
  <c r="CZ79" i="11"/>
  <c r="CZ58" i="11"/>
  <c r="CZ70" i="11"/>
  <c r="CZ82" i="11"/>
  <c r="CZ13" i="12"/>
  <c r="CY6" i="3"/>
  <c r="CY6" i="4"/>
  <c r="CY6" i="5"/>
  <c r="CY6" i="6"/>
  <c r="CY6" i="9"/>
  <c r="CY6" i="7"/>
  <c r="CY6" i="8"/>
  <c r="CY10" i="11"/>
  <c r="CY11" i="11"/>
  <c r="CQ2" i="15" s="1"/>
  <c r="CY13" i="11"/>
  <c r="CY23" i="11"/>
  <c r="CQ8" i="15" s="1"/>
  <c r="CY25" i="11"/>
  <c r="CY16" i="11"/>
  <c r="CY7" i="11"/>
  <c r="CY19" i="11"/>
  <c r="CY22" i="11"/>
  <c r="CY29" i="11"/>
  <c r="CQ11" i="15" s="1"/>
  <c r="CY31" i="11"/>
  <c r="CY17" i="11"/>
  <c r="CQ5" i="15" s="1"/>
  <c r="CY34" i="11"/>
  <c r="CY47" i="11"/>
  <c r="CQ20" i="15"/>
  <c r="CY49" i="11"/>
  <c r="CY40" i="11"/>
  <c r="CY28" i="11"/>
  <c r="CY37" i="11"/>
  <c r="CY41" i="11"/>
  <c r="CQ17" i="15" s="1"/>
  <c r="CY43" i="11"/>
  <c r="CY35" i="11"/>
  <c r="CQ14" i="15" s="1"/>
  <c r="CY58" i="11"/>
  <c r="CY70" i="11"/>
  <c r="CY46" i="11"/>
  <c r="CY59" i="11"/>
  <c r="CQ26" i="15" s="1"/>
  <c r="CY61" i="11"/>
  <c r="CY71" i="11"/>
  <c r="CQ32" i="15" s="1"/>
  <c r="CY73" i="11"/>
  <c r="CY83" i="11"/>
  <c r="CQ38" i="15"/>
  <c r="CY52" i="11"/>
  <c r="CY64" i="11"/>
  <c r="CY76" i="11"/>
  <c r="CY53" i="11"/>
  <c r="CQ23" i="15" s="1"/>
  <c r="CY55" i="11"/>
  <c r="CY65" i="11"/>
  <c r="CQ29" i="15" s="1"/>
  <c r="CY67" i="11"/>
  <c r="CY77" i="11"/>
  <c r="CQ35" i="15" s="1"/>
  <c r="CY79" i="11"/>
  <c r="CT6" i="3"/>
  <c r="CT6" i="4"/>
  <c r="CT6" i="5"/>
  <c r="CT6" i="6"/>
  <c r="CT6" i="9"/>
  <c r="CT6" i="7"/>
  <c r="CT6" i="8"/>
  <c r="CT7" i="11"/>
  <c r="CT10" i="11"/>
  <c r="CT22" i="11"/>
  <c r="CT11" i="11"/>
  <c r="CL2" i="15" s="1"/>
  <c r="CT13" i="11"/>
  <c r="CT23" i="11"/>
  <c r="CL8" i="15" s="1"/>
  <c r="CT25" i="11"/>
  <c r="CT16" i="11"/>
  <c r="CT19" i="11"/>
  <c r="CT17" i="11"/>
  <c r="CL5" i="15" s="1"/>
  <c r="CT28" i="11"/>
  <c r="CT29" i="11"/>
  <c r="CL11" i="15" s="1"/>
  <c r="CT31" i="11"/>
  <c r="CT46" i="11"/>
  <c r="CT34" i="11"/>
  <c r="CT37" i="11"/>
  <c r="CT35" i="11"/>
  <c r="CL14" i="15" s="1"/>
  <c r="CT40" i="11"/>
  <c r="CT41" i="11"/>
  <c r="CL17" i="15" s="1"/>
  <c r="CT53" i="11"/>
  <c r="CL23" i="15" s="1"/>
  <c r="CT55" i="11"/>
  <c r="CT65" i="11"/>
  <c r="CL29" i="15"/>
  <c r="CT67" i="11"/>
  <c r="CT77" i="11"/>
  <c r="CL35" i="15" s="1"/>
  <c r="CT79" i="11"/>
  <c r="CT47" i="11"/>
  <c r="CL20" i="15" s="1"/>
  <c r="CT49" i="11"/>
  <c r="CT58" i="11"/>
  <c r="CT70" i="11"/>
  <c r="CT82" i="11"/>
  <c r="CT13" i="12"/>
  <c r="CT52" i="11"/>
  <c r="CT59" i="11"/>
  <c r="CL26" i="15" s="1"/>
  <c r="CT61" i="11"/>
  <c r="CT71" i="11"/>
  <c r="CL32" i="15" s="1"/>
  <c r="CT73" i="11"/>
  <c r="CT43" i="11"/>
  <c r="CT64" i="11"/>
  <c r="CT76" i="11"/>
  <c r="CS6" i="3"/>
  <c r="CS6" i="5"/>
  <c r="CS6" i="6"/>
  <c r="CS6" i="4"/>
  <c r="CS6" i="7"/>
  <c r="CS6" i="8"/>
  <c r="CS6" i="9"/>
  <c r="CS7" i="11"/>
  <c r="CS17" i="11"/>
  <c r="CK5" i="15" s="1"/>
  <c r="CS19" i="11"/>
  <c r="CS10" i="11"/>
  <c r="CS22" i="11"/>
  <c r="CS23" i="11"/>
  <c r="CK8" i="15"/>
  <c r="CS25" i="11"/>
  <c r="CS11" i="11"/>
  <c r="CK2" i="15" s="1"/>
  <c r="CS13" i="11"/>
  <c r="CS16" i="11"/>
  <c r="CS35" i="11"/>
  <c r="CK14" i="15" s="1"/>
  <c r="CS37" i="11"/>
  <c r="CS28" i="11"/>
  <c r="CS41" i="11"/>
  <c r="CK17" i="15" s="1"/>
  <c r="CS43" i="11"/>
  <c r="CS29" i="11"/>
  <c r="CK11" i="15" s="1"/>
  <c r="CS31" i="11"/>
  <c r="CS34" i="11"/>
  <c r="CS40" i="11"/>
  <c r="CS64" i="11"/>
  <c r="CS76" i="11"/>
  <c r="CS46" i="11"/>
  <c r="CS53" i="11"/>
  <c r="CK23" i="15" s="1"/>
  <c r="CS55" i="11"/>
  <c r="CS65" i="11"/>
  <c r="CK29" i="15"/>
  <c r="CS67" i="11"/>
  <c r="CS77" i="11"/>
  <c r="CK35" i="15" s="1"/>
  <c r="CS79" i="11"/>
  <c r="CS47" i="11"/>
  <c r="CK20" i="15" s="1"/>
  <c r="CS49" i="11"/>
  <c r="CS58" i="11"/>
  <c r="CS70" i="11"/>
  <c r="CS52" i="11"/>
  <c r="CS59" i="11"/>
  <c r="CK26" i="15" s="1"/>
  <c r="CS61" i="11"/>
  <c r="CS71" i="11"/>
  <c r="CK32" i="15"/>
  <c r="CS73" i="11"/>
  <c r="CS83" i="11"/>
  <c r="CK38" i="15" s="1"/>
  <c r="CR14" i="11"/>
  <c r="CJ6" i="15"/>
  <c r="CR20" i="11"/>
  <c r="CJ9" i="15" s="1"/>
  <c r="CR32" i="11"/>
  <c r="CJ15" i="15" s="1"/>
  <c r="CR8" i="11"/>
  <c r="CJ3" i="15" s="1"/>
  <c r="CR50" i="11"/>
  <c r="CJ24" i="15" s="1"/>
  <c r="CR38" i="11"/>
  <c r="CJ18" i="15" s="1"/>
  <c r="CR26" i="11"/>
  <c r="CJ12" i="15" s="1"/>
  <c r="CR62" i="11"/>
  <c r="CJ30" i="15" s="1"/>
  <c r="CR74" i="11"/>
  <c r="CJ36" i="15" s="1"/>
  <c r="CR44" i="11"/>
  <c r="CJ21" i="15" s="1"/>
  <c r="CR56" i="11"/>
  <c r="CJ27" i="15" s="1"/>
  <c r="CR68" i="11"/>
  <c r="CJ33" i="15" s="1"/>
  <c r="CR80" i="11"/>
  <c r="CJ39" i="15"/>
  <c r="CQ8" i="11"/>
  <c r="CI3" i="15" s="1"/>
  <c r="CQ14" i="11"/>
  <c r="CI6" i="15" s="1"/>
  <c r="CQ26" i="11"/>
  <c r="CI12" i="15" s="1"/>
  <c r="CQ20" i="11"/>
  <c r="CI9" i="15"/>
  <c r="CQ32" i="11"/>
  <c r="CI15" i="15" s="1"/>
  <c r="CQ38" i="11"/>
  <c r="CI18" i="15" s="1"/>
  <c r="CQ50" i="11"/>
  <c r="CI24" i="15" s="1"/>
  <c r="CQ56" i="11"/>
  <c r="CI27" i="15" s="1"/>
  <c r="CQ68" i="11"/>
  <c r="CI33" i="15" s="1"/>
  <c r="CQ80" i="11"/>
  <c r="CI39" i="15" s="1"/>
  <c r="CQ62" i="11"/>
  <c r="CI30" i="15" s="1"/>
  <c r="CQ74" i="11"/>
  <c r="CI36" i="15" s="1"/>
  <c r="CQ44" i="11"/>
  <c r="CI21" i="15" s="1"/>
  <c r="CP8" i="11"/>
  <c r="CH3" i="15" s="1"/>
  <c r="CP20" i="11"/>
  <c r="CH9" i="15" s="1"/>
  <c r="CP26" i="11"/>
  <c r="CH12" i="15"/>
  <c r="CP14" i="11"/>
  <c r="CH6" i="15" s="1"/>
  <c r="CP44" i="11"/>
  <c r="CH21" i="15" s="1"/>
  <c r="CP32" i="11"/>
  <c r="CH15" i="15" s="1"/>
  <c r="CP38" i="11"/>
  <c r="CH18" i="15"/>
  <c r="CP50" i="11"/>
  <c r="CH24" i="15" s="1"/>
  <c r="CP56" i="11"/>
  <c r="CH27" i="15" s="1"/>
  <c r="CP68" i="11"/>
  <c r="CH33" i="15" s="1"/>
  <c r="CP80" i="11"/>
  <c r="CH39" i="15" s="1"/>
  <c r="CP62" i="11"/>
  <c r="CH30" i="15" s="1"/>
  <c r="CP74" i="11"/>
  <c r="CH36" i="15" s="1"/>
  <c r="CO14" i="11"/>
  <c r="CG6" i="15" s="1"/>
  <c r="DA14" i="11"/>
  <c r="CO8" i="11"/>
  <c r="CG3" i="15" s="1"/>
  <c r="DA8" i="11"/>
  <c r="CO20" i="11"/>
  <c r="CG9" i="15" s="1"/>
  <c r="DA20" i="11"/>
  <c r="CO26" i="11"/>
  <c r="CG12" i="15"/>
  <c r="DA26" i="11"/>
  <c r="CO38" i="11"/>
  <c r="CG18" i="15" s="1"/>
  <c r="DA38" i="11"/>
  <c r="CO32" i="11"/>
  <c r="CG15" i="15" s="1"/>
  <c r="DA32" i="11"/>
  <c r="CO44" i="11"/>
  <c r="CG21" i="15" s="1"/>
  <c r="CO62" i="11"/>
  <c r="CG30" i="15" s="1"/>
  <c r="DA62" i="11"/>
  <c r="CO74" i="11"/>
  <c r="CG36" i="15" s="1"/>
  <c r="DA74" i="11"/>
  <c r="DA50" i="11"/>
  <c r="CO50" i="11"/>
  <c r="CG24" i="15" s="1"/>
  <c r="CO56" i="11"/>
  <c r="CG27" i="15" s="1"/>
  <c r="DA56" i="11"/>
  <c r="CO68" i="11"/>
  <c r="CG33" i="15" s="1"/>
  <c r="DA68" i="11"/>
  <c r="CO80" i="11"/>
  <c r="CG39" i="15" s="1"/>
  <c r="DA80" i="11"/>
  <c r="DA44" i="11"/>
  <c r="CM8" i="11"/>
  <c r="CF3" i="15" s="1"/>
  <c r="CM14" i="11"/>
  <c r="CF6" i="15"/>
  <c r="CM20" i="11"/>
  <c r="CF9" i="15" s="1"/>
  <c r="CM26" i="11"/>
  <c r="CF12" i="15"/>
  <c r="CM32" i="11"/>
  <c r="CF15" i="15" s="1"/>
  <c r="CM38" i="11"/>
  <c r="CF18" i="15"/>
  <c r="CM56" i="11"/>
  <c r="CF27" i="15" s="1"/>
  <c r="CM68" i="11"/>
  <c r="CF33" i="15"/>
  <c r="CM80" i="11"/>
  <c r="CF39" i="15" s="1"/>
  <c r="CM44" i="11"/>
  <c r="CF21" i="15"/>
  <c r="CM62" i="11"/>
  <c r="CF30" i="15" s="1"/>
  <c r="CM74" i="11"/>
  <c r="CF36" i="15"/>
  <c r="CM50" i="11"/>
  <c r="CF24" i="15" s="1"/>
  <c r="CL8" i="11"/>
  <c r="CE3" i="15"/>
  <c r="CL20" i="11"/>
  <c r="CE9" i="15" s="1"/>
  <c r="CL26" i="11"/>
  <c r="CE12" i="15"/>
  <c r="CL38" i="11"/>
  <c r="CE18" i="15" s="1"/>
  <c r="CL44" i="11"/>
  <c r="CE21" i="15"/>
  <c r="CL32" i="11"/>
  <c r="CE15" i="15" s="1"/>
  <c r="CL14" i="11"/>
  <c r="CE6" i="15"/>
  <c r="CL50" i="11"/>
  <c r="CE24" i="15" s="1"/>
  <c r="CL56" i="11"/>
  <c r="CE27" i="15"/>
  <c r="CL68" i="11"/>
  <c r="CE33" i="15" s="1"/>
  <c r="CL80" i="11"/>
  <c r="CE39" i="15"/>
  <c r="CL62" i="11"/>
  <c r="CE30" i="15" s="1"/>
  <c r="CL74" i="11"/>
  <c r="CE36" i="15"/>
  <c r="CF14" i="11"/>
  <c r="BY6" i="15" s="1"/>
  <c r="CF8" i="11"/>
  <c r="BY3" i="15"/>
  <c r="CF32" i="11"/>
  <c r="BY15" i="15" s="1"/>
  <c r="CF38" i="11"/>
  <c r="BY18" i="15"/>
  <c r="CF50" i="11"/>
  <c r="BY24" i="15" s="1"/>
  <c r="CF20" i="11"/>
  <c r="BY9" i="15"/>
  <c r="CF26" i="11"/>
  <c r="BY12" i="15" s="1"/>
  <c r="CF62" i="11"/>
  <c r="BY30" i="15"/>
  <c r="CF74" i="11"/>
  <c r="BY36" i="15" s="1"/>
  <c r="CF44" i="11"/>
  <c r="BY21" i="15"/>
  <c r="CF56" i="11"/>
  <c r="BY27" i="15" s="1"/>
  <c r="CF68" i="11"/>
  <c r="BY33" i="15"/>
  <c r="CF80" i="11"/>
  <c r="BY39" i="15" s="1"/>
  <c r="CB6" i="3"/>
  <c r="CB6" i="4"/>
  <c r="CB6" i="5"/>
  <c r="CB6" i="6"/>
  <c r="CB6" i="7"/>
  <c r="CB6" i="8"/>
  <c r="CB6" i="9"/>
  <c r="CB11" i="11"/>
  <c r="BU2" i="15" s="1"/>
  <c r="CN11" i="11"/>
  <c r="CB13" i="11"/>
  <c r="CB16" i="11"/>
  <c r="CB7" i="11"/>
  <c r="CB17" i="11"/>
  <c r="BU5" i="15"/>
  <c r="CN17" i="11"/>
  <c r="CB19" i="11"/>
  <c r="CB22" i="11"/>
  <c r="CB10" i="11"/>
  <c r="CB23" i="11"/>
  <c r="BU8" i="15" s="1"/>
  <c r="CB25" i="11"/>
  <c r="CB34" i="11"/>
  <c r="CB35" i="11"/>
  <c r="BU14" i="15" s="1"/>
  <c r="CN35" i="11"/>
  <c r="CB37" i="11"/>
  <c r="CN29" i="11"/>
  <c r="CB40" i="11"/>
  <c r="CB52" i="11"/>
  <c r="CB28" i="11"/>
  <c r="CB41" i="11"/>
  <c r="BU17" i="15" s="1"/>
  <c r="CN41" i="11"/>
  <c r="CB43" i="11"/>
  <c r="CB29" i="11"/>
  <c r="BU11" i="15" s="1"/>
  <c r="CB31" i="11"/>
  <c r="CN23" i="11"/>
  <c r="CB59" i="11"/>
  <c r="BU26" i="15" s="1"/>
  <c r="CN59" i="11"/>
  <c r="CB61" i="11"/>
  <c r="CB71" i="11"/>
  <c r="BU32" i="15" s="1"/>
  <c r="CN71" i="11"/>
  <c r="CB73" i="11"/>
  <c r="CB64" i="11"/>
  <c r="CB76" i="11"/>
  <c r="CB46" i="11"/>
  <c r="CN47" i="11"/>
  <c r="CB53" i="11"/>
  <c r="BU23" i="15" s="1"/>
  <c r="CN53" i="11"/>
  <c r="CB55" i="11"/>
  <c r="CB65" i="11"/>
  <c r="BU29" i="15" s="1"/>
  <c r="CN65" i="11"/>
  <c r="CB67" i="11"/>
  <c r="CB77" i="11"/>
  <c r="BU35" i="15" s="1"/>
  <c r="CN77" i="11"/>
  <c r="CB79" i="11"/>
  <c r="CB47" i="11"/>
  <c r="BU20" i="15" s="1"/>
  <c r="CB49" i="11"/>
  <c r="CB58" i="11"/>
  <c r="CB70" i="11"/>
  <c r="CB82" i="11"/>
  <c r="CB13" i="12"/>
  <c r="BZ6" i="3"/>
  <c r="BZ6" i="4"/>
  <c r="BZ6" i="5"/>
  <c r="BZ6" i="6"/>
  <c r="BZ6" i="9"/>
  <c r="BZ6" i="7"/>
  <c r="BZ6" i="8"/>
  <c r="BZ7" i="11"/>
  <c r="BZ10" i="11"/>
  <c r="BZ22" i="11"/>
  <c r="BZ11" i="11"/>
  <c r="BT2" i="15" s="1"/>
  <c r="BZ13" i="11"/>
  <c r="BZ23" i="11"/>
  <c r="BT8" i="15" s="1"/>
  <c r="BZ25" i="11"/>
  <c r="BZ28" i="11"/>
  <c r="BZ16" i="11"/>
  <c r="BZ19" i="11"/>
  <c r="BZ29" i="11"/>
  <c r="BT11" i="15" s="1"/>
  <c r="BZ31" i="11"/>
  <c r="BZ35" i="11"/>
  <c r="BT14" i="15" s="1"/>
  <c r="BZ46" i="11"/>
  <c r="BZ40" i="11"/>
  <c r="BZ17" i="11"/>
  <c r="BT5" i="15" s="1"/>
  <c r="BZ34" i="11"/>
  <c r="BZ37" i="11"/>
  <c r="BZ41" i="11"/>
  <c r="BT17" i="15" s="1"/>
  <c r="BZ43" i="11"/>
  <c r="BZ47" i="11"/>
  <c r="BT20" i="15" s="1"/>
  <c r="BZ49" i="11"/>
  <c r="BZ53" i="11"/>
  <c r="BT23" i="15" s="1"/>
  <c r="BZ55" i="11"/>
  <c r="BZ65" i="11"/>
  <c r="BT29" i="15" s="1"/>
  <c r="BZ67" i="11"/>
  <c r="BZ77" i="11"/>
  <c r="BT35" i="15" s="1"/>
  <c r="BZ79" i="11"/>
  <c r="BZ52" i="11"/>
  <c r="BZ58" i="11"/>
  <c r="BZ70" i="11"/>
  <c r="BZ82" i="11"/>
  <c r="BZ13" i="12"/>
  <c r="BZ59" i="11"/>
  <c r="BT26" i="15" s="1"/>
  <c r="BZ61" i="11"/>
  <c r="BZ71" i="11"/>
  <c r="BT32" i="15" s="1"/>
  <c r="BZ73" i="11"/>
  <c r="BZ64" i="11"/>
  <c r="BZ76" i="11"/>
  <c r="BY6" i="3"/>
  <c r="BY6" i="4"/>
  <c r="BY6" i="5"/>
  <c r="BY6" i="6"/>
  <c r="BY6" i="7"/>
  <c r="BY6" i="8"/>
  <c r="BY6" i="9"/>
  <c r="BY7" i="11"/>
  <c r="BY17" i="11"/>
  <c r="BS5" i="15" s="1"/>
  <c r="BY19" i="11"/>
  <c r="BY10" i="11"/>
  <c r="BY22" i="11"/>
  <c r="BY35" i="11"/>
  <c r="BS14" i="15" s="1"/>
  <c r="BY37" i="11"/>
  <c r="BY11" i="11"/>
  <c r="BS2" i="15" s="1"/>
  <c r="BY13" i="11"/>
  <c r="BY23" i="11"/>
  <c r="BS8" i="15" s="1"/>
  <c r="BY25" i="11"/>
  <c r="BY28" i="11"/>
  <c r="BY34" i="11"/>
  <c r="BY41" i="11"/>
  <c r="BS17" i="15" s="1"/>
  <c r="BY43" i="11"/>
  <c r="BY16" i="11"/>
  <c r="BY29" i="11"/>
  <c r="BS11" i="15" s="1"/>
  <c r="BY31" i="11"/>
  <c r="BY40" i="11"/>
  <c r="BY46" i="11"/>
  <c r="BY64" i="11"/>
  <c r="BY76" i="11"/>
  <c r="BY47" i="11"/>
  <c r="BS20" i="15" s="1"/>
  <c r="BY49" i="11"/>
  <c r="BY53" i="11"/>
  <c r="BS23" i="15" s="1"/>
  <c r="BY55" i="11"/>
  <c r="BY65" i="11"/>
  <c r="BS29" i="15" s="1"/>
  <c r="BY67" i="11"/>
  <c r="BY77" i="11"/>
  <c r="BS35" i="15" s="1"/>
  <c r="BY79" i="11"/>
  <c r="BY52" i="11"/>
  <c r="BY58" i="11"/>
  <c r="BY70" i="11"/>
  <c r="BY59" i="11"/>
  <c r="BS26" i="15" s="1"/>
  <c r="BY61" i="11"/>
  <c r="BY71" i="11"/>
  <c r="BS32" i="15"/>
  <c r="BY73" i="11"/>
  <c r="BY83" i="11"/>
  <c r="BS38" i="15" s="1"/>
  <c r="BT6" i="3"/>
  <c r="BT6" i="4"/>
  <c r="BT6" i="5"/>
  <c r="BT6" i="6"/>
  <c r="BT6" i="7"/>
  <c r="BT6" i="8"/>
  <c r="BT6" i="9"/>
  <c r="BT11" i="11"/>
  <c r="BN2" i="15" s="1"/>
  <c r="BT13" i="11"/>
  <c r="BT16" i="11"/>
  <c r="BT7" i="11"/>
  <c r="BT17" i="11"/>
  <c r="BN5" i="15" s="1"/>
  <c r="BT19" i="11"/>
  <c r="BT22" i="11"/>
  <c r="BT23" i="11"/>
  <c r="BN8" i="15" s="1"/>
  <c r="BT25" i="11"/>
  <c r="BT34" i="11"/>
  <c r="BT35" i="11"/>
  <c r="BN14" i="15" s="1"/>
  <c r="BT37" i="11"/>
  <c r="BT10" i="11"/>
  <c r="BT40" i="11"/>
  <c r="BT52" i="11"/>
  <c r="BT28" i="11"/>
  <c r="BT41" i="11"/>
  <c r="BN17" i="15" s="1"/>
  <c r="BT43" i="11"/>
  <c r="BT29" i="11"/>
  <c r="BN11" i="15" s="1"/>
  <c r="BT31" i="11"/>
  <c r="BT46" i="11"/>
  <c r="BT59" i="11"/>
  <c r="BN26" i="15" s="1"/>
  <c r="BT61" i="11"/>
  <c r="BT71" i="11"/>
  <c r="BN32" i="15"/>
  <c r="BT73" i="11"/>
  <c r="BT47" i="11"/>
  <c r="BN20" i="15" s="1"/>
  <c r="BT49" i="11"/>
  <c r="BT64" i="11"/>
  <c r="BT76" i="11"/>
  <c r="BT53" i="11"/>
  <c r="BN23" i="15"/>
  <c r="BT55" i="11"/>
  <c r="BT65" i="11"/>
  <c r="BN29" i="15" s="1"/>
  <c r="BT67" i="11"/>
  <c r="BT77" i="11"/>
  <c r="BN35" i="15" s="1"/>
  <c r="BT79" i="11"/>
  <c r="BT58" i="11"/>
  <c r="BT70" i="11"/>
  <c r="BT82" i="11"/>
  <c r="BT13" i="12"/>
  <c r="BS6" i="3"/>
  <c r="BS6" i="4"/>
  <c r="BS6" i="5"/>
  <c r="BS6" i="6"/>
  <c r="BS6" i="9"/>
  <c r="BS6" i="7"/>
  <c r="BS6" i="8"/>
  <c r="BS10" i="11"/>
  <c r="BS11" i="11"/>
  <c r="BM2" i="15" s="1"/>
  <c r="BS13" i="11"/>
  <c r="BS23" i="11"/>
  <c r="BM8" i="15"/>
  <c r="BS25" i="11"/>
  <c r="BS16" i="11"/>
  <c r="BS7" i="11"/>
  <c r="BS19" i="11"/>
  <c r="BS22" i="11"/>
  <c r="BS29" i="11"/>
  <c r="BM11" i="15" s="1"/>
  <c r="BS31" i="11"/>
  <c r="BS17" i="11"/>
  <c r="BM5" i="15" s="1"/>
  <c r="BS34" i="11"/>
  <c r="BS47" i="11"/>
  <c r="BM20" i="15"/>
  <c r="BS49" i="11"/>
  <c r="BS40" i="11"/>
  <c r="BS28" i="11"/>
  <c r="BS37" i="11"/>
  <c r="BS41" i="11"/>
  <c r="BM17" i="15" s="1"/>
  <c r="BS43" i="11"/>
  <c r="BS35" i="11"/>
  <c r="BM14" i="15" s="1"/>
  <c r="BS58" i="11"/>
  <c r="BS70" i="11"/>
  <c r="BS46" i="11"/>
  <c r="BS59" i="11"/>
  <c r="BM26" i="15" s="1"/>
  <c r="BS61" i="11"/>
  <c r="BS71" i="11"/>
  <c r="BM32" i="15" s="1"/>
  <c r="BS73" i="11"/>
  <c r="BS83" i="11"/>
  <c r="BM38" i="15" s="1"/>
  <c r="BS52" i="11"/>
  <c r="BS64" i="11"/>
  <c r="BS76" i="11"/>
  <c r="BS53" i="11"/>
  <c r="BM23" i="15" s="1"/>
  <c r="BS55" i="11"/>
  <c r="BS65" i="11"/>
  <c r="BM29" i="15" s="1"/>
  <c r="BS67" i="11"/>
  <c r="BS77" i="11"/>
  <c r="BM35" i="15" s="1"/>
  <c r="BS79" i="11"/>
  <c r="BR8" i="11"/>
  <c r="BL3" i="15" s="1"/>
  <c r="BR20" i="11"/>
  <c r="BL9" i="15" s="1"/>
  <c r="BR14" i="11"/>
  <c r="BL6" i="15" s="1"/>
  <c r="BR26" i="11"/>
  <c r="BL12" i="15" s="1"/>
  <c r="BR38" i="11"/>
  <c r="BL18" i="15"/>
  <c r="BR44" i="11"/>
  <c r="BL21" i="15" s="1"/>
  <c r="BR32" i="11"/>
  <c r="BL15" i="15" s="1"/>
  <c r="BR56" i="11"/>
  <c r="BL27" i="15" s="1"/>
  <c r="BR68" i="11"/>
  <c r="BL33" i="15"/>
  <c r="BR80" i="11"/>
  <c r="BL39" i="15" s="1"/>
  <c r="BR50" i="11"/>
  <c r="BL24" i="15" s="1"/>
  <c r="BR62" i="11"/>
  <c r="BL30" i="15" s="1"/>
  <c r="BR74" i="11"/>
  <c r="BL36" i="15" s="1"/>
  <c r="BP14" i="11"/>
  <c r="BJ6" i="15" s="1"/>
  <c r="BP26" i="11"/>
  <c r="BJ12" i="15" s="1"/>
  <c r="BP8" i="11"/>
  <c r="BJ3" i="15" s="1"/>
  <c r="BP32" i="11"/>
  <c r="BJ15" i="15" s="1"/>
  <c r="BP38" i="11"/>
  <c r="BJ18" i="15" s="1"/>
  <c r="BP50" i="11"/>
  <c r="BJ24" i="15" s="1"/>
  <c r="BP20" i="11"/>
  <c r="BJ9" i="15" s="1"/>
  <c r="BP62" i="11"/>
  <c r="BJ30" i="15"/>
  <c r="BP74" i="11"/>
  <c r="BJ36" i="15" s="1"/>
  <c r="BP44" i="11"/>
  <c r="BJ21" i="15" s="1"/>
  <c r="BP56" i="11"/>
  <c r="BJ27" i="15" s="1"/>
  <c r="BP68" i="11"/>
  <c r="BJ33" i="15"/>
  <c r="BP80" i="11"/>
  <c r="BJ39" i="15" s="1"/>
  <c r="BJ6" i="3"/>
  <c r="BJ6" i="4"/>
  <c r="BJ6" i="5"/>
  <c r="BJ6" i="6"/>
  <c r="BJ6" i="9"/>
  <c r="BJ6" i="7"/>
  <c r="BJ6" i="8"/>
  <c r="BJ7" i="11"/>
  <c r="BJ10" i="11"/>
  <c r="BJ22" i="11"/>
  <c r="BJ11" i="11"/>
  <c r="BE2" i="15" s="1"/>
  <c r="BJ13" i="11"/>
  <c r="BJ23" i="11"/>
  <c r="BE8" i="15" s="1"/>
  <c r="BJ25" i="11"/>
  <c r="BJ28" i="11"/>
  <c r="BJ16" i="11"/>
  <c r="BJ19" i="11"/>
  <c r="BJ29" i="11"/>
  <c r="BE11" i="15" s="1"/>
  <c r="BJ31" i="11"/>
  <c r="BJ35" i="11"/>
  <c r="BE14" i="15" s="1"/>
  <c r="BJ46" i="11"/>
  <c r="BJ17" i="11"/>
  <c r="BE5" i="15" s="1"/>
  <c r="BJ40" i="11"/>
  <c r="BJ34" i="11"/>
  <c r="BJ37" i="11"/>
  <c r="BJ41" i="11"/>
  <c r="BE17" i="15"/>
  <c r="BJ43" i="11"/>
  <c r="BJ47" i="11"/>
  <c r="BE20" i="15" s="1"/>
  <c r="BJ49" i="11"/>
  <c r="BJ53" i="11"/>
  <c r="BE23" i="15" s="1"/>
  <c r="BJ55" i="11"/>
  <c r="BJ65" i="11"/>
  <c r="BE29" i="15"/>
  <c r="BJ67" i="11"/>
  <c r="BJ77" i="11"/>
  <c r="BE35" i="15" s="1"/>
  <c r="BJ79" i="11"/>
  <c r="BJ52" i="11"/>
  <c r="BJ58" i="11"/>
  <c r="BJ70" i="11"/>
  <c r="BJ82" i="11"/>
  <c r="BJ13" i="12"/>
  <c r="BJ59" i="11"/>
  <c r="BE26" i="15" s="1"/>
  <c r="BJ61" i="11"/>
  <c r="BJ71" i="11"/>
  <c r="BE32" i="15" s="1"/>
  <c r="BJ73" i="11"/>
  <c r="BJ64" i="11"/>
  <c r="BJ76" i="11"/>
  <c r="BH6" i="3"/>
  <c r="BH6" i="4"/>
  <c r="BH6" i="5"/>
  <c r="BH6" i="6"/>
  <c r="BH6" i="7"/>
  <c r="BH6" i="8"/>
  <c r="BH6" i="9"/>
  <c r="BH7" i="11"/>
  <c r="BH11" i="11"/>
  <c r="BC2" i="15"/>
  <c r="BH13" i="11"/>
  <c r="BH16" i="11"/>
  <c r="BH17" i="11"/>
  <c r="BC5" i="15"/>
  <c r="BH19" i="11"/>
  <c r="BH34" i="11"/>
  <c r="BH10" i="11"/>
  <c r="BH22" i="11"/>
  <c r="BH35" i="11"/>
  <c r="BC14" i="15" s="1"/>
  <c r="BH37" i="11"/>
  <c r="BH25" i="11"/>
  <c r="BH29" i="11"/>
  <c r="BC11" i="15" s="1"/>
  <c r="BH31" i="11"/>
  <c r="BH40" i="11"/>
  <c r="BH52" i="11"/>
  <c r="BH41" i="11"/>
  <c r="BC17" i="15" s="1"/>
  <c r="BH43" i="11"/>
  <c r="BH23" i="11"/>
  <c r="BC8" i="15" s="1"/>
  <c r="BH28" i="11"/>
  <c r="BH59" i="11"/>
  <c r="BC26" i="15" s="1"/>
  <c r="BH61" i="11"/>
  <c r="BH71" i="11"/>
  <c r="BC32" i="15"/>
  <c r="BH73" i="11"/>
  <c r="BH46" i="11"/>
  <c r="BH64" i="11"/>
  <c r="BH76" i="11"/>
  <c r="BH47" i="11"/>
  <c r="BC20" i="15" s="1"/>
  <c r="BH49" i="11"/>
  <c r="BH53" i="11"/>
  <c r="BC23" i="15" s="1"/>
  <c r="BH55" i="11"/>
  <c r="BH65" i="11"/>
  <c r="BC29" i="15" s="1"/>
  <c r="BH67" i="11"/>
  <c r="BH77" i="11"/>
  <c r="BC35" i="15" s="1"/>
  <c r="BH79" i="11"/>
  <c r="BH58" i="11"/>
  <c r="BH70" i="11"/>
  <c r="BH82" i="11"/>
  <c r="BH13" i="12"/>
  <c r="BG6" i="3"/>
  <c r="BG6" i="4"/>
  <c r="BG6" i="5"/>
  <c r="BG6" i="6"/>
  <c r="BG6" i="9"/>
  <c r="BG6" i="7"/>
  <c r="BG6" i="8"/>
  <c r="BG10" i="11"/>
  <c r="BG7" i="11"/>
  <c r="BG11" i="11"/>
  <c r="BB2" i="15" s="1"/>
  <c r="BG13" i="11"/>
  <c r="BG23" i="11"/>
  <c r="BB8" i="15" s="1"/>
  <c r="BG25" i="11"/>
  <c r="BG16" i="11"/>
  <c r="BG17" i="11"/>
  <c r="BB5" i="15" s="1"/>
  <c r="BG29" i="11"/>
  <c r="BB11" i="15" s="1"/>
  <c r="BG31" i="11"/>
  <c r="BG34" i="11"/>
  <c r="BG28" i="11"/>
  <c r="BG37" i="11"/>
  <c r="BG47" i="11"/>
  <c r="BB20" i="15" s="1"/>
  <c r="BG49" i="11"/>
  <c r="BG22" i="11"/>
  <c r="BG35" i="11"/>
  <c r="BB14" i="15" s="1"/>
  <c r="BG40" i="11"/>
  <c r="BG19" i="11"/>
  <c r="BG41" i="11"/>
  <c r="BB17" i="15" s="1"/>
  <c r="BG43" i="11"/>
  <c r="BG58" i="11"/>
  <c r="BG70" i="11"/>
  <c r="BG59" i="11"/>
  <c r="BB26" i="15" s="1"/>
  <c r="BG61" i="11"/>
  <c r="BG71" i="11"/>
  <c r="BB32" i="15" s="1"/>
  <c r="BG73" i="11"/>
  <c r="BG83" i="11"/>
  <c r="BB38" i="15" s="1"/>
  <c r="BG46" i="11"/>
  <c r="BG64" i="11"/>
  <c r="BG76" i="11"/>
  <c r="BG52" i="11"/>
  <c r="BG53" i="11"/>
  <c r="BB23" i="15" s="1"/>
  <c r="BG55" i="11"/>
  <c r="BG65" i="11"/>
  <c r="BB29" i="15" s="1"/>
  <c r="BG67" i="11"/>
  <c r="BG77" i="11"/>
  <c r="BB35" i="15" s="1"/>
  <c r="BG79" i="11"/>
  <c r="BE14" i="11"/>
  <c r="AZ6" i="15" s="1"/>
  <c r="BE8" i="11"/>
  <c r="AZ3" i="15"/>
  <c r="BE20" i="11"/>
  <c r="AZ9" i="15" s="1"/>
  <c r="BE26" i="11"/>
  <c r="AZ12" i="15"/>
  <c r="BE38" i="11"/>
  <c r="AZ18" i="15" s="1"/>
  <c r="BE32" i="11"/>
  <c r="AZ15" i="15"/>
  <c r="BE62" i="11"/>
  <c r="AZ30" i="15" s="1"/>
  <c r="BE74" i="11"/>
  <c r="AZ36" i="15"/>
  <c r="BE50" i="11"/>
  <c r="AZ24" i="15" s="1"/>
  <c r="F58" i="14"/>
  <c r="BE56" i="11"/>
  <c r="AZ27" i="15" s="1"/>
  <c r="BE68" i="11"/>
  <c r="AZ33" i="15" s="1"/>
  <c r="BE80" i="11"/>
  <c r="AZ39" i="15" s="1"/>
  <c r="BE44" i="11"/>
  <c r="AZ21" i="15"/>
  <c r="AT8" i="11"/>
  <c r="AP3" i="15" s="1"/>
  <c r="AT20" i="11"/>
  <c r="AP9" i="15" s="1"/>
  <c r="AT38" i="11"/>
  <c r="AP18" i="15" s="1"/>
  <c r="AT14" i="11"/>
  <c r="AP6" i="15" s="1"/>
  <c r="AT26" i="11"/>
  <c r="AP12" i="15" s="1"/>
  <c r="AT44" i="11"/>
  <c r="AP21" i="15" s="1"/>
  <c r="AT32" i="11"/>
  <c r="AP15" i="15" s="1"/>
  <c r="AT50" i="11"/>
  <c r="AP24" i="15" s="1"/>
  <c r="AT56" i="11"/>
  <c r="AP27" i="15" s="1"/>
  <c r="AT68" i="11"/>
  <c r="AP33" i="15" s="1"/>
  <c r="AT80" i="11"/>
  <c r="AP39" i="15" s="1"/>
  <c r="F48" i="14"/>
  <c r="AT62" i="11"/>
  <c r="AP30" i="15"/>
  <c r="AT74" i="11"/>
  <c r="AP36" i="15" s="1"/>
  <c r="AQ6" i="3"/>
  <c r="AQ6" i="4"/>
  <c r="AQ6" i="5"/>
  <c r="AQ6" i="6"/>
  <c r="AQ6" i="9"/>
  <c r="AQ6" i="7"/>
  <c r="AQ6" i="8"/>
  <c r="AQ10" i="11"/>
  <c r="AQ7" i="11"/>
  <c r="AQ11" i="11"/>
  <c r="AM2" i="15" s="1"/>
  <c r="AQ13" i="11"/>
  <c r="AQ23" i="11"/>
  <c r="AM8" i="15" s="1"/>
  <c r="AQ25" i="11"/>
  <c r="AQ16" i="11"/>
  <c r="AQ17" i="11"/>
  <c r="AM5" i="15" s="1"/>
  <c r="AQ29" i="11"/>
  <c r="AM11" i="15" s="1"/>
  <c r="AQ31" i="11"/>
  <c r="AQ34" i="11"/>
  <c r="AQ19" i="11"/>
  <c r="AQ28" i="11"/>
  <c r="AQ37" i="11"/>
  <c r="AQ40" i="11"/>
  <c r="AQ47" i="11"/>
  <c r="AM20" i="15" s="1"/>
  <c r="AQ49" i="11"/>
  <c r="AQ35" i="11"/>
  <c r="AM14" i="15" s="1"/>
  <c r="AQ41" i="11"/>
  <c r="AM17" i="15" s="1"/>
  <c r="AQ43" i="11"/>
  <c r="AQ22" i="11"/>
  <c r="AQ58" i="11"/>
  <c r="AQ70" i="11"/>
  <c r="AQ59" i="11"/>
  <c r="AM26" i="15" s="1"/>
  <c r="AQ61" i="11"/>
  <c r="AQ71" i="11"/>
  <c r="AM32" i="15" s="1"/>
  <c r="AQ73" i="11"/>
  <c r="AQ83" i="11"/>
  <c r="AM38" i="15" s="1"/>
  <c r="AQ46" i="11"/>
  <c r="AQ64" i="11"/>
  <c r="AQ76" i="11"/>
  <c r="AQ52" i="11"/>
  <c r="AQ53" i="11"/>
  <c r="AM23" i="15" s="1"/>
  <c r="AQ55" i="11"/>
  <c r="AQ65" i="11"/>
  <c r="AM29" i="15" s="1"/>
  <c r="AQ67" i="11"/>
  <c r="AQ77" i="11"/>
  <c r="AM35" i="15" s="1"/>
  <c r="AQ79" i="11"/>
  <c r="AO6" i="3"/>
  <c r="AO6" i="4"/>
  <c r="AO6" i="5"/>
  <c r="AO6" i="6"/>
  <c r="AO6" i="7"/>
  <c r="AO6" i="8"/>
  <c r="AO7" i="11"/>
  <c r="AO6" i="9"/>
  <c r="AO17" i="11"/>
  <c r="AK5" i="15"/>
  <c r="BA17" i="11"/>
  <c r="AO19" i="11"/>
  <c r="AO10" i="11"/>
  <c r="AO22" i="11"/>
  <c r="BA11" i="11"/>
  <c r="AO23" i="11"/>
  <c r="AK8" i="15" s="1"/>
  <c r="AO25" i="11"/>
  <c r="AO16" i="11"/>
  <c r="AO35" i="11"/>
  <c r="AK14" i="15" s="1"/>
  <c r="BA35" i="11"/>
  <c r="AO37" i="11"/>
  <c r="BA23" i="11"/>
  <c r="AO28" i="11"/>
  <c r="AO40" i="11"/>
  <c r="AO41" i="11"/>
  <c r="AK17" i="15" s="1"/>
  <c r="BA41" i="11"/>
  <c r="AO43" i="11"/>
  <c r="AO11" i="11"/>
  <c r="AK2" i="15" s="1"/>
  <c r="AO29" i="11"/>
  <c r="AK11" i="15"/>
  <c r="AO31" i="11"/>
  <c r="AO34" i="11"/>
  <c r="AO13" i="11"/>
  <c r="BA29" i="11"/>
  <c r="AO47" i="11"/>
  <c r="AK20" i="15" s="1"/>
  <c r="AO49" i="11"/>
  <c r="AO64" i="11"/>
  <c r="AO76" i="11"/>
  <c r="AO52" i="11"/>
  <c r="AO53" i="11"/>
  <c r="AK23" i="15" s="1"/>
  <c r="BA53" i="11"/>
  <c r="AO55" i="11"/>
  <c r="AO65" i="11"/>
  <c r="AK29" i="15" s="1"/>
  <c r="BA65" i="11"/>
  <c r="AO67" i="11"/>
  <c r="AO77" i="11"/>
  <c r="AK35" i="15" s="1"/>
  <c r="BA77" i="11"/>
  <c r="AO79" i="11"/>
  <c r="AO58" i="11"/>
  <c r="AO70" i="11"/>
  <c r="AO46" i="11"/>
  <c r="BA47" i="11"/>
  <c r="AO59" i="11"/>
  <c r="AK26" i="15" s="1"/>
  <c r="BA59" i="11"/>
  <c r="AO61" i="11"/>
  <c r="AO71" i="11"/>
  <c r="AK32" i="15" s="1"/>
  <c r="BA71" i="11"/>
  <c r="AO73" i="11"/>
  <c r="AO83" i="11"/>
  <c r="AK38" i="15" s="1"/>
  <c r="BA83" i="11"/>
  <c r="AK14" i="11"/>
  <c r="AH6" i="15" s="1"/>
  <c r="AK8" i="11"/>
  <c r="AH3" i="15" s="1"/>
  <c r="AK20" i="11"/>
  <c r="AH9" i="15" s="1"/>
  <c r="AK38" i="11"/>
  <c r="AH18" i="15" s="1"/>
  <c r="AK32" i="11"/>
  <c r="AH15" i="15" s="1"/>
  <c r="AK26" i="11"/>
  <c r="AH12" i="15" s="1"/>
  <c r="AK50" i="11"/>
  <c r="AH24" i="15" s="1"/>
  <c r="AK62" i="11"/>
  <c r="AH30" i="15"/>
  <c r="AK74" i="11"/>
  <c r="AH36" i="15" s="1"/>
  <c r="F40" i="14"/>
  <c r="AK44" i="11"/>
  <c r="AH21" i="15"/>
  <c r="AK56" i="11"/>
  <c r="AH27" i="15" s="1"/>
  <c r="AK68" i="11"/>
  <c r="AH33" i="15"/>
  <c r="AK80" i="11"/>
  <c r="AH39" i="15" s="1"/>
  <c r="AG6" i="3"/>
  <c r="AG6" i="4"/>
  <c r="AG6" i="5"/>
  <c r="AG6" i="6"/>
  <c r="AG6" i="7"/>
  <c r="AG6" i="8"/>
  <c r="AG7" i="11"/>
  <c r="AG6" i="9"/>
  <c r="AG17" i="11"/>
  <c r="AD5" i="15"/>
  <c r="AG19" i="11"/>
  <c r="AG10" i="11"/>
  <c r="AG22" i="11"/>
  <c r="AG23" i="11"/>
  <c r="AD8" i="15" s="1"/>
  <c r="AG25" i="11"/>
  <c r="AG11" i="11"/>
  <c r="AD2" i="15" s="1"/>
  <c r="AG13" i="11"/>
  <c r="AG16" i="11"/>
  <c r="AG35" i="11"/>
  <c r="AD14" i="15" s="1"/>
  <c r="AG37" i="11"/>
  <c r="AG28" i="11"/>
  <c r="AG40" i="11"/>
  <c r="AG41" i="11"/>
  <c r="AD17" i="15" s="1"/>
  <c r="AG43" i="11"/>
  <c r="AG29" i="11"/>
  <c r="AD11" i="15" s="1"/>
  <c r="AG31" i="11"/>
  <c r="AG34" i="11"/>
  <c r="AG64" i="11"/>
  <c r="AG76" i="11"/>
  <c r="AG46" i="11"/>
  <c r="AG53" i="11"/>
  <c r="AD23" i="15" s="1"/>
  <c r="AG55" i="11"/>
  <c r="AG65" i="11"/>
  <c r="AD29" i="15" s="1"/>
  <c r="AG67" i="11"/>
  <c r="AG77" i="11"/>
  <c r="AD35" i="15" s="1"/>
  <c r="AG79" i="11"/>
  <c r="AG47" i="11"/>
  <c r="AD20" i="15" s="1"/>
  <c r="AG49" i="11"/>
  <c r="AG58" i="11"/>
  <c r="AG70" i="11"/>
  <c r="AG52" i="11"/>
  <c r="AG59" i="11"/>
  <c r="AD26" i="15" s="1"/>
  <c r="AG61" i="11"/>
  <c r="AG71" i="11"/>
  <c r="AD32" i="15" s="1"/>
  <c r="AG73" i="11"/>
  <c r="AG83" i="11"/>
  <c r="AD38" i="15" s="1"/>
  <c r="AC14" i="11"/>
  <c r="Z6" i="15"/>
  <c r="AC8" i="11"/>
  <c r="Z3" i="15" s="1"/>
  <c r="AC20" i="11"/>
  <c r="Z9" i="15"/>
  <c r="AC38" i="11"/>
  <c r="Z18" i="15" s="1"/>
  <c r="AC32" i="11"/>
  <c r="Z15" i="15"/>
  <c r="AC26" i="11"/>
  <c r="Z12" i="15" s="1"/>
  <c r="AC44" i="11"/>
  <c r="Z21" i="15"/>
  <c r="AC62" i="11"/>
  <c r="Z30" i="15" s="1"/>
  <c r="AC74" i="11"/>
  <c r="Z36" i="15"/>
  <c r="AC50" i="11"/>
  <c r="Z24" i="15" s="1"/>
  <c r="AC56" i="11"/>
  <c r="Z27" i="15"/>
  <c r="AC68" i="11"/>
  <c r="Z33" i="15" s="1"/>
  <c r="AC80" i="11"/>
  <c r="Z39" i="15"/>
  <c r="F32" i="14"/>
  <c r="Z8" i="11"/>
  <c r="X3" i="15" s="1"/>
  <c r="Z20" i="11"/>
  <c r="X9" i="15"/>
  <c r="Z26" i="11"/>
  <c r="X12" i="15" s="1"/>
  <c r="Z38" i="11"/>
  <c r="X18" i="15" s="1"/>
  <c r="Z44" i="11"/>
  <c r="X21" i="15" s="1"/>
  <c r="Z32" i="11"/>
  <c r="X15" i="15"/>
  <c r="Z14" i="11"/>
  <c r="X6" i="15" s="1"/>
  <c r="Z50" i="11"/>
  <c r="X24" i="15" s="1"/>
  <c r="Z56" i="11"/>
  <c r="X27" i="15" s="1"/>
  <c r="Z68" i="11"/>
  <c r="X33" i="15" s="1"/>
  <c r="Z80" i="11"/>
  <c r="X39" i="15" s="1"/>
  <c r="Z62" i="11"/>
  <c r="X30" i="15" s="1"/>
  <c r="Z74" i="11"/>
  <c r="X36" i="15" s="1"/>
  <c r="F30" i="14"/>
  <c r="W6" i="3"/>
  <c r="W6" i="4"/>
  <c r="W6" i="5"/>
  <c r="W6" i="6"/>
  <c r="W6" i="9"/>
  <c r="W6" i="7"/>
  <c r="W6" i="8"/>
  <c r="W10" i="11"/>
  <c r="W11" i="11"/>
  <c r="U2" i="15" s="1"/>
  <c r="W13" i="11"/>
  <c r="W23" i="11"/>
  <c r="U8" i="15" s="1"/>
  <c r="W25" i="11"/>
  <c r="W16" i="11"/>
  <c r="W19" i="11"/>
  <c r="W22" i="11"/>
  <c r="W29" i="11"/>
  <c r="U11" i="15" s="1"/>
  <c r="W31" i="11"/>
  <c r="W17" i="11"/>
  <c r="U5" i="15" s="1"/>
  <c r="W34" i="11"/>
  <c r="W47" i="11"/>
  <c r="U20" i="15" s="1"/>
  <c r="W49" i="11"/>
  <c r="W7" i="11"/>
  <c r="W28" i="11"/>
  <c r="W37" i="11"/>
  <c r="W41" i="11"/>
  <c r="U17" i="15" s="1"/>
  <c r="W43" i="11"/>
  <c r="W35" i="11"/>
  <c r="U14" i="15" s="1"/>
  <c r="W40" i="11"/>
  <c r="W58" i="11"/>
  <c r="W70" i="11"/>
  <c r="W46" i="11"/>
  <c r="W59" i="11"/>
  <c r="U26" i="15"/>
  <c r="W61" i="11"/>
  <c r="W71" i="11"/>
  <c r="U32" i="15" s="1"/>
  <c r="W73" i="11"/>
  <c r="W83" i="11"/>
  <c r="U38" i="15" s="1"/>
  <c r="W52" i="11"/>
  <c r="W64" i="11"/>
  <c r="W76" i="11"/>
  <c r="W53" i="11"/>
  <c r="U23" i="15" s="1"/>
  <c r="W55" i="11"/>
  <c r="W65" i="11"/>
  <c r="U29" i="15" s="1"/>
  <c r="W67" i="11"/>
  <c r="W77" i="11"/>
  <c r="U35" i="15" s="1"/>
  <c r="W79" i="11"/>
  <c r="T14" i="11"/>
  <c r="R6" i="15"/>
  <c r="T26" i="11"/>
  <c r="R12" i="15" s="1"/>
  <c r="T8" i="11"/>
  <c r="R3" i="15" s="1"/>
  <c r="T32" i="11"/>
  <c r="R15" i="15" s="1"/>
  <c r="T38" i="11"/>
  <c r="R18" i="15"/>
  <c r="T50" i="11"/>
  <c r="R24" i="15" s="1"/>
  <c r="T20" i="11"/>
  <c r="R9" i="15" s="1"/>
  <c r="T62" i="11"/>
  <c r="R30" i="15" s="1"/>
  <c r="T74" i="11"/>
  <c r="R36" i="15" s="1"/>
  <c r="F24" i="14"/>
  <c r="T7" i="11" s="1"/>
  <c r="T44" i="11"/>
  <c r="R21" i="15" s="1"/>
  <c r="T56" i="11"/>
  <c r="R27" i="15" s="1"/>
  <c r="T68" i="11"/>
  <c r="R33" i="15" s="1"/>
  <c r="T80" i="11"/>
  <c r="R39" i="15"/>
  <c r="S8" i="11"/>
  <c r="Q3" i="15" s="1"/>
  <c r="S14" i="11"/>
  <c r="Q6" i="15" s="1"/>
  <c r="S26" i="11"/>
  <c r="Q12" i="15" s="1"/>
  <c r="S20" i="11"/>
  <c r="Q9" i="15" s="1"/>
  <c r="S32" i="11"/>
  <c r="Q15" i="15" s="1"/>
  <c r="S38" i="11"/>
  <c r="Q18" i="15" s="1"/>
  <c r="S44" i="11"/>
  <c r="Q21" i="15" s="1"/>
  <c r="S56" i="11"/>
  <c r="Q27" i="15" s="1"/>
  <c r="S68" i="11"/>
  <c r="Q33" i="15" s="1"/>
  <c r="S80" i="11"/>
  <c r="Q39" i="15" s="1"/>
  <c r="S50" i="11"/>
  <c r="Q24" i="15" s="1"/>
  <c r="F23" i="14"/>
  <c r="S62" i="11"/>
  <c r="Q30" i="15" s="1"/>
  <c r="S74" i="11"/>
  <c r="Q36" i="15" s="1"/>
  <c r="P6" i="3"/>
  <c r="P6" i="4"/>
  <c r="P6" i="5"/>
  <c r="P6" i="6"/>
  <c r="P6" i="7"/>
  <c r="P6" i="8"/>
  <c r="P6" i="9"/>
  <c r="P11" i="11"/>
  <c r="N2" i="15" s="1"/>
  <c r="P13" i="11"/>
  <c r="P16" i="11"/>
  <c r="P7" i="11"/>
  <c r="P17" i="11"/>
  <c r="N5" i="15" s="1"/>
  <c r="P19" i="11"/>
  <c r="P22" i="11"/>
  <c r="P10" i="11"/>
  <c r="P23" i="11"/>
  <c r="N8" i="15" s="1"/>
  <c r="P25" i="11"/>
  <c r="P34" i="11"/>
  <c r="P35" i="11"/>
  <c r="N14" i="15" s="1"/>
  <c r="P37" i="11"/>
  <c r="P40" i="11"/>
  <c r="P52" i="11"/>
  <c r="P28" i="11"/>
  <c r="P41" i="11"/>
  <c r="N17" i="15" s="1"/>
  <c r="P43" i="11"/>
  <c r="P29" i="11"/>
  <c r="N11" i="15" s="1"/>
  <c r="P31" i="11"/>
  <c r="P59" i="11"/>
  <c r="N26" i="15" s="1"/>
  <c r="P61" i="11"/>
  <c r="P71" i="11"/>
  <c r="N32" i="15" s="1"/>
  <c r="P73" i="11"/>
  <c r="P64" i="11"/>
  <c r="P76" i="11"/>
  <c r="P46" i="11"/>
  <c r="P53" i="11"/>
  <c r="N23" i="15"/>
  <c r="P55" i="11"/>
  <c r="P65" i="11"/>
  <c r="N29" i="15" s="1"/>
  <c r="P67" i="11"/>
  <c r="P77" i="11"/>
  <c r="N35" i="15" s="1"/>
  <c r="P79" i="11"/>
  <c r="P47" i="11"/>
  <c r="N20" i="15" s="1"/>
  <c r="P49" i="11"/>
  <c r="P58" i="11"/>
  <c r="P70" i="11"/>
  <c r="P82" i="11"/>
  <c r="P13" i="12"/>
  <c r="M6" i="3"/>
  <c r="M6" i="4"/>
  <c r="M6" i="5"/>
  <c r="M6" i="6"/>
  <c r="M6" i="7"/>
  <c r="M6" i="8"/>
  <c r="M7" i="11"/>
  <c r="M6" i="9"/>
  <c r="M17" i="11"/>
  <c r="L5" i="15" s="1"/>
  <c r="M19" i="11"/>
  <c r="M10" i="11"/>
  <c r="M22" i="11"/>
  <c r="M35" i="11"/>
  <c r="L14" i="15" s="1"/>
  <c r="M37" i="11"/>
  <c r="M11" i="11"/>
  <c r="L2" i="15"/>
  <c r="M13" i="11"/>
  <c r="M23" i="11"/>
  <c r="L8" i="15" s="1"/>
  <c r="M25" i="11"/>
  <c r="M28" i="11"/>
  <c r="M40" i="11"/>
  <c r="M34" i="11"/>
  <c r="M41" i="11"/>
  <c r="L17" i="15"/>
  <c r="M43" i="11"/>
  <c r="M16" i="11"/>
  <c r="M29" i="11"/>
  <c r="L11" i="15"/>
  <c r="M31" i="11"/>
  <c r="M46" i="11"/>
  <c r="M64" i="11"/>
  <c r="M76" i="11"/>
  <c r="M47" i="11"/>
  <c r="L20" i="15" s="1"/>
  <c r="M49" i="11"/>
  <c r="M53" i="11"/>
  <c r="L23" i="15"/>
  <c r="M55" i="11"/>
  <c r="M65" i="11"/>
  <c r="L29" i="15" s="1"/>
  <c r="M67" i="11"/>
  <c r="M77" i="11"/>
  <c r="L35" i="15" s="1"/>
  <c r="M79" i="11"/>
  <c r="M52" i="11"/>
  <c r="M58" i="11"/>
  <c r="M70" i="11"/>
  <c r="M59" i="11"/>
  <c r="L26" i="15" s="1"/>
  <c r="M61" i="11"/>
  <c r="M71" i="11"/>
  <c r="L32" i="15" s="1"/>
  <c r="M73" i="11"/>
  <c r="M83" i="11"/>
  <c r="L38" i="15"/>
  <c r="J8" i="11"/>
  <c r="I3" i="15" s="1"/>
  <c r="J20" i="11"/>
  <c r="I9" i="15"/>
  <c r="J26" i="11"/>
  <c r="I12" i="15" s="1"/>
  <c r="J38" i="11"/>
  <c r="I18" i="15"/>
  <c r="J14" i="11"/>
  <c r="I6" i="15" s="1"/>
  <c r="J44" i="11"/>
  <c r="I21" i="15"/>
  <c r="J32" i="11"/>
  <c r="I15" i="15" s="1"/>
  <c r="J50" i="11"/>
  <c r="I24" i="15"/>
  <c r="J56" i="11"/>
  <c r="I27" i="15" s="1"/>
  <c r="J68" i="11"/>
  <c r="I33" i="15"/>
  <c r="J80" i="11"/>
  <c r="I39" i="15" s="1"/>
  <c r="J62" i="11"/>
  <c r="I30" i="15"/>
  <c r="J74" i="11"/>
  <c r="I36" i="15" s="1"/>
  <c r="F15" i="14"/>
  <c r="I26" i="11"/>
  <c r="H12" i="15" s="1"/>
  <c r="F6" i="3"/>
  <c r="F6" i="4"/>
  <c r="F6" i="5"/>
  <c r="F6" i="6"/>
  <c r="F6" i="9"/>
  <c r="F6" i="7"/>
  <c r="F6" i="8"/>
  <c r="F7" i="11"/>
  <c r="F10" i="11"/>
  <c r="F22" i="11"/>
  <c r="F11" i="11"/>
  <c r="E2" i="15" s="1"/>
  <c r="F13" i="11"/>
  <c r="F23" i="11"/>
  <c r="E8" i="15" s="1"/>
  <c r="F25" i="11"/>
  <c r="F28" i="11"/>
  <c r="F16" i="11"/>
  <c r="F19" i="11"/>
  <c r="F29" i="11"/>
  <c r="E11" i="15" s="1"/>
  <c r="F31" i="11"/>
  <c r="F17" i="11"/>
  <c r="E5" i="15" s="1"/>
  <c r="F35" i="11"/>
  <c r="E14" i="15"/>
  <c r="F40" i="11"/>
  <c r="F46" i="11"/>
  <c r="F34" i="11"/>
  <c r="F37" i="11"/>
  <c r="F41" i="11"/>
  <c r="E17" i="15" s="1"/>
  <c r="F43" i="11"/>
  <c r="F53" i="11"/>
  <c r="E23" i="15" s="1"/>
  <c r="F55" i="11"/>
  <c r="F65" i="11"/>
  <c r="E29" i="15"/>
  <c r="F67" i="11"/>
  <c r="F77" i="11"/>
  <c r="E35" i="15" s="1"/>
  <c r="F79" i="11"/>
  <c r="F58" i="11"/>
  <c r="F70" i="11"/>
  <c r="F82" i="11"/>
  <c r="F13" i="12"/>
  <c r="F47" i="11"/>
  <c r="E20" i="15" s="1"/>
  <c r="F49" i="11"/>
  <c r="F59" i="11"/>
  <c r="E26" i="15" s="1"/>
  <c r="F61" i="11"/>
  <c r="F71" i="11"/>
  <c r="E32" i="15" s="1"/>
  <c r="F73" i="11"/>
  <c r="F52" i="11"/>
  <c r="F64" i="11"/>
  <c r="F76" i="11"/>
  <c r="C8" i="11"/>
  <c r="B3" i="15" s="1"/>
  <c r="C14" i="11"/>
  <c r="B6" i="15" s="1"/>
  <c r="C26" i="11"/>
  <c r="B12" i="15" s="1"/>
  <c r="C20" i="11"/>
  <c r="B9" i="15" s="1"/>
  <c r="C32" i="11"/>
  <c r="B15" i="15" s="1"/>
  <c r="C38" i="11"/>
  <c r="B18" i="15" s="1"/>
  <c r="C56" i="11"/>
  <c r="B27" i="15" s="1"/>
  <c r="C68" i="11"/>
  <c r="B33" i="15" s="1"/>
  <c r="C80" i="11"/>
  <c r="B39" i="15" s="1"/>
  <c r="C50" i="11"/>
  <c r="B24" i="15" s="1"/>
  <c r="C62" i="11"/>
  <c r="B30" i="15" s="1"/>
  <c r="C74" i="11"/>
  <c r="B36" i="15" s="1"/>
  <c r="C44" i="11"/>
  <c r="B21" i="15" s="1"/>
  <c r="F8" i="14"/>
  <c r="B8" i="11"/>
  <c r="A3" i="15"/>
  <c r="N8" i="11"/>
  <c r="B20" i="11"/>
  <c r="A9" i="15" s="1"/>
  <c r="N20" i="11"/>
  <c r="B26" i="11"/>
  <c r="A12" i="15" s="1"/>
  <c r="B14" i="11"/>
  <c r="A6" i="15" s="1"/>
  <c r="B38" i="11"/>
  <c r="A18" i="15" s="1"/>
  <c r="N38" i="11"/>
  <c r="N14" i="11"/>
  <c r="N26" i="11"/>
  <c r="B44" i="11"/>
  <c r="A21" i="15" s="1"/>
  <c r="N44" i="11"/>
  <c r="B32" i="11"/>
  <c r="A15" i="15" s="1"/>
  <c r="N32" i="11"/>
  <c r="N50" i="11"/>
  <c r="B56" i="11"/>
  <c r="A27" i="15" s="1"/>
  <c r="N56" i="11"/>
  <c r="B68" i="11"/>
  <c r="A33" i="15" s="1"/>
  <c r="N68" i="11"/>
  <c r="B80" i="11"/>
  <c r="A39" i="15"/>
  <c r="N80" i="11"/>
  <c r="F7" i="14"/>
  <c r="B50" i="11"/>
  <c r="A24" i="15"/>
  <c r="B62" i="11"/>
  <c r="A30" i="15" s="1"/>
  <c r="N62" i="11"/>
  <c r="B74" i="11"/>
  <c r="A36" i="15" s="1"/>
  <c r="N74" i="11"/>
  <c r="H7" i="14"/>
  <c r="EE13" i="12"/>
  <c r="CY13" i="12"/>
  <c r="CI13" i="12"/>
  <c r="BS13" i="12"/>
  <c r="W13" i="12"/>
  <c r="O13" i="12"/>
  <c r="G13" i="12"/>
  <c r="DZ83" i="11"/>
  <c r="DP38" i="15" s="1"/>
  <c r="CT83" i="11"/>
  <c r="CL38" i="15" s="1"/>
  <c r="CD83" i="11"/>
  <c r="BW38" i="15" s="1"/>
  <c r="BF83" i="11"/>
  <c r="BA38" i="15" s="1"/>
  <c r="AX83" i="11"/>
  <c r="AT38" i="15" s="1"/>
  <c r="AH83" i="11"/>
  <c r="AE38" i="15" s="1"/>
  <c r="R83" i="11"/>
  <c r="P38" i="15"/>
  <c r="DY82" i="11"/>
  <c r="DI82" i="11"/>
  <c r="CS82" i="11"/>
  <c r="CK82" i="11"/>
  <c r="CC82" i="11"/>
  <c r="AW82" i="11"/>
  <c r="AO82" i="11"/>
  <c r="AG82" i="11"/>
  <c r="Q82" i="11"/>
  <c r="EG80" i="11"/>
  <c r="DV39" i="15" s="1"/>
  <c r="DY80" i="11"/>
  <c r="DO39" i="15" s="1"/>
  <c r="DQ80" i="11"/>
  <c r="DG39" i="15" s="1"/>
  <c r="BG8" i="11"/>
  <c r="BB3" i="15" s="1"/>
  <c r="BG14" i="11"/>
  <c r="BB6" i="15" s="1"/>
  <c r="BG26" i="11"/>
  <c r="BB12" i="15" s="1"/>
  <c r="BG20" i="11"/>
  <c r="BB9" i="15"/>
  <c r="BG32" i="11"/>
  <c r="BB15" i="15" s="1"/>
  <c r="BG38" i="11"/>
  <c r="BB18" i="15" s="1"/>
  <c r="BF8" i="11"/>
  <c r="BA3" i="15" s="1"/>
  <c r="BF20" i="11"/>
  <c r="BA9" i="15" s="1"/>
  <c r="BF26" i="11"/>
  <c r="BA12" i="15" s="1"/>
  <c r="BF38" i="11"/>
  <c r="BA18" i="15" s="1"/>
  <c r="BF44" i="11"/>
  <c r="BA21" i="15" s="1"/>
  <c r="BF14" i="11"/>
  <c r="BA6" i="15"/>
  <c r="BF32" i="11"/>
  <c r="BA15" i="15" s="1"/>
  <c r="AW14" i="11"/>
  <c r="AS6" i="15" s="1"/>
  <c r="AW8" i="11"/>
  <c r="AS3" i="15" s="1"/>
  <c r="AW20" i="11"/>
  <c r="AS9" i="15" s="1"/>
  <c r="AW26" i="11"/>
  <c r="AS12" i="15" s="1"/>
  <c r="AW38" i="11"/>
  <c r="AS18" i="15" s="1"/>
  <c r="AW32" i="11"/>
  <c r="AS15" i="15" s="1"/>
  <c r="AV14" i="11"/>
  <c r="AR6" i="15"/>
  <c r="AV26" i="11"/>
  <c r="AR12" i="15" s="1"/>
  <c r="AV20" i="11"/>
  <c r="AR9" i="15" s="1"/>
  <c r="AV32" i="11"/>
  <c r="AR15" i="15" s="1"/>
  <c r="AV8" i="11"/>
  <c r="AR3" i="15" s="1"/>
  <c r="AV50" i="11"/>
  <c r="AR24" i="15" s="1"/>
  <c r="AV38" i="11"/>
  <c r="AR18" i="15" s="1"/>
  <c r="AO14" i="11"/>
  <c r="AK6" i="15" s="1"/>
  <c r="BA14" i="11"/>
  <c r="AO8" i="11"/>
  <c r="AK3" i="15" s="1"/>
  <c r="BA8" i="11"/>
  <c r="AO20" i="11"/>
  <c r="AK9" i="15" s="1"/>
  <c r="BA20" i="11"/>
  <c r="AO26" i="11"/>
  <c r="AK12" i="15" s="1"/>
  <c r="AO38" i="11"/>
  <c r="AK18" i="15" s="1"/>
  <c r="BA38" i="11"/>
  <c r="BA32" i="11"/>
  <c r="AO32" i="11"/>
  <c r="AK15" i="15" s="1"/>
  <c r="BA26" i="11"/>
  <c r="AM8" i="11"/>
  <c r="AJ3" i="15" s="1"/>
  <c r="AM14" i="11"/>
  <c r="AJ6" i="15" s="1"/>
  <c r="AM26" i="11"/>
  <c r="AJ12" i="15"/>
  <c r="AM20" i="11"/>
  <c r="AJ9" i="15" s="1"/>
  <c r="AM32" i="11"/>
  <c r="AJ15" i="15" s="1"/>
  <c r="AM38" i="11"/>
  <c r="AJ18" i="15" s="1"/>
  <c r="AL8" i="11"/>
  <c r="AI3" i="15" s="1"/>
  <c r="AL20" i="11"/>
  <c r="AI9" i="15" s="1"/>
  <c r="AL14" i="11"/>
  <c r="AI6" i="15" s="1"/>
  <c r="AL38" i="11"/>
  <c r="AI18" i="15" s="1"/>
  <c r="AL26" i="11"/>
  <c r="AI12" i="15"/>
  <c r="AL44" i="11"/>
  <c r="AI21" i="15" s="1"/>
  <c r="AL32" i="11"/>
  <c r="AI15" i="15" s="1"/>
  <c r="AH8" i="11"/>
  <c r="AE3" i="15" s="1"/>
  <c r="AH20" i="11"/>
  <c r="AE9" i="15" s="1"/>
  <c r="AH26" i="11"/>
  <c r="AE12" i="15" s="1"/>
  <c r="AH14" i="11"/>
  <c r="AE6" i="15" s="1"/>
  <c r="AH38" i="11"/>
  <c r="AE18" i="15" s="1"/>
  <c r="AH44" i="11"/>
  <c r="AE21" i="15"/>
  <c r="AH32" i="11"/>
  <c r="AE15" i="15" s="1"/>
  <c r="AG14" i="11"/>
  <c r="AD6" i="15" s="1"/>
  <c r="AG8" i="11"/>
  <c r="AD3" i="15" s="1"/>
  <c r="AG20" i="11"/>
  <c r="AD9" i="15" s="1"/>
  <c r="AG26" i="11"/>
  <c r="AD12" i="15" s="1"/>
  <c r="AG38" i="11"/>
  <c r="AD18" i="15" s="1"/>
  <c r="AG32" i="11"/>
  <c r="AD15" i="15" s="1"/>
  <c r="AF14" i="11"/>
  <c r="AC6" i="15"/>
  <c r="AF26" i="11"/>
  <c r="AC12" i="15" s="1"/>
  <c r="AF20" i="11"/>
  <c r="AC9" i="15" s="1"/>
  <c r="AF32" i="11"/>
  <c r="AC15" i="15" s="1"/>
  <c r="AF8" i="11"/>
  <c r="AC3" i="15" s="1"/>
  <c r="AF50" i="11"/>
  <c r="AC24" i="15" s="1"/>
  <c r="AF38" i="11"/>
  <c r="AC18" i="15" s="1"/>
  <c r="X14" i="11"/>
  <c r="V6" i="15" s="1"/>
  <c r="X26" i="11"/>
  <c r="V12" i="15"/>
  <c r="X8" i="11"/>
  <c r="V3" i="15" s="1"/>
  <c r="X20" i="11"/>
  <c r="V9" i="15" s="1"/>
  <c r="X32" i="11"/>
  <c r="V15" i="15" s="1"/>
  <c r="X50" i="11"/>
  <c r="V24" i="15" s="1"/>
  <c r="X38" i="11"/>
  <c r="V18" i="15" s="1"/>
  <c r="W8" i="11"/>
  <c r="U3" i="15" s="1"/>
  <c r="W14" i="11"/>
  <c r="U6" i="15" s="1"/>
  <c r="W26" i="11"/>
  <c r="U12" i="15"/>
  <c r="W20" i="11"/>
  <c r="U9" i="15" s="1"/>
  <c r="W32" i="11"/>
  <c r="U15" i="15" s="1"/>
  <c r="W38" i="11"/>
  <c r="U18" i="15" s="1"/>
  <c r="V8" i="11"/>
  <c r="T3" i="15" s="1"/>
  <c r="V20" i="11"/>
  <c r="T9" i="15" s="1"/>
  <c r="V14" i="11"/>
  <c r="T6" i="15" s="1"/>
  <c r="V38" i="11"/>
  <c r="T18" i="15" s="1"/>
  <c r="V26" i="11"/>
  <c r="T12" i="15"/>
  <c r="V44" i="11"/>
  <c r="T21" i="15" s="1"/>
  <c r="V32" i="11"/>
  <c r="T15" i="15" s="1"/>
  <c r="R8" i="11"/>
  <c r="P3" i="15" s="1"/>
  <c r="R20" i="11"/>
  <c r="P9" i="15" s="1"/>
  <c r="R26" i="11"/>
  <c r="P12" i="15" s="1"/>
  <c r="R14" i="11"/>
  <c r="P6" i="15" s="1"/>
  <c r="R38" i="11"/>
  <c r="P18" i="15" s="1"/>
  <c r="R44" i="11"/>
  <c r="P21" i="15"/>
  <c r="R32" i="11"/>
  <c r="P15" i="15" s="1"/>
  <c r="Q14" i="11"/>
  <c r="O6" i="15" s="1"/>
  <c r="Q8" i="11"/>
  <c r="O3" i="15" s="1"/>
  <c r="Q20" i="11"/>
  <c r="O9" i="15" s="1"/>
  <c r="Q26" i="11"/>
  <c r="O12" i="15" s="1"/>
  <c r="Q38" i="11"/>
  <c r="O18" i="15" s="1"/>
  <c r="Q32" i="11"/>
  <c r="O15" i="15" s="1"/>
  <c r="P14" i="11"/>
  <c r="N6" i="15"/>
  <c r="P26" i="11"/>
  <c r="N12" i="15" s="1"/>
  <c r="P20" i="11"/>
  <c r="N9" i="15" s="1"/>
  <c r="P32" i="11"/>
  <c r="N15" i="15" s="1"/>
  <c r="P8" i="11"/>
  <c r="N3" i="15" s="1"/>
  <c r="P50" i="11"/>
  <c r="N24" i="15" s="1"/>
  <c r="P38" i="11"/>
  <c r="N18" i="15" s="1"/>
  <c r="BH80" i="11"/>
  <c r="BC39" i="15" s="1"/>
  <c r="AV80" i="11"/>
  <c r="AR39" i="15"/>
  <c r="AR80" i="11"/>
  <c r="AN39" i="15" s="1"/>
  <c r="AF80" i="11"/>
  <c r="AC39" i="15" s="1"/>
  <c r="X80" i="11"/>
  <c r="V39" i="15" s="1"/>
  <c r="P80" i="11"/>
  <c r="N39" i="15" s="1"/>
  <c r="H80" i="11"/>
  <c r="G39" i="15" s="1"/>
  <c r="BF74" i="11"/>
  <c r="BA36" i="15" s="1"/>
  <c r="AX74" i="11"/>
  <c r="AT36" i="15"/>
  <c r="AP74" i="11"/>
  <c r="AL36" i="15" s="1"/>
  <c r="AL74" i="11"/>
  <c r="AI36" i="15" s="1"/>
  <c r="AH74" i="11"/>
  <c r="AE36" i="15" s="1"/>
  <c r="V74" i="11"/>
  <c r="T36" i="15" s="1"/>
  <c r="R74" i="11"/>
  <c r="P36" i="15" s="1"/>
  <c r="F74" i="11"/>
  <c r="E36" i="15" s="1"/>
  <c r="BH68" i="11"/>
  <c r="BC33" i="15" s="1"/>
  <c r="AV68" i="11"/>
  <c r="AR33" i="15"/>
  <c r="AR68" i="11"/>
  <c r="AN33" i="15" s="1"/>
  <c r="AF68" i="11"/>
  <c r="AC33" i="15" s="1"/>
  <c r="X68" i="11"/>
  <c r="V33" i="15" s="1"/>
  <c r="P68" i="11"/>
  <c r="N33" i="15" s="1"/>
  <c r="H68" i="11"/>
  <c r="G33" i="15" s="1"/>
  <c r="BF62" i="11"/>
  <c r="BA30" i="15" s="1"/>
  <c r="AX62" i="11"/>
  <c r="AT30" i="15"/>
  <c r="AL62" i="11"/>
  <c r="AI30" i="15" s="1"/>
  <c r="AH62" i="11"/>
  <c r="AE30" i="15" s="1"/>
  <c r="V62" i="11"/>
  <c r="T30" i="15" s="1"/>
  <c r="R62" i="11"/>
  <c r="P30" i="15" s="1"/>
  <c r="F62" i="11"/>
  <c r="E30" i="15" s="1"/>
  <c r="AV56" i="11"/>
  <c r="AR27" i="15" s="1"/>
  <c r="AF56" i="11"/>
  <c r="AC27" i="15" s="1"/>
  <c r="X56" i="11"/>
  <c r="V27" i="15"/>
  <c r="P56" i="11"/>
  <c r="N27" i="15" s="1"/>
  <c r="BG50" i="11"/>
  <c r="BB24" i="15" s="1"/>
  <c r="AW50" i="11"/>
  <c r="AS24" i="15" s="1"/>
  <c r="AQ50" i="11"/>
  <c r="AM24" i="15" s="1"/>
  <c r="AL50" i="11"/>
  <c r="AI24" i="15" s="1"/>
  <c r="AG50" i="11"/>
  <c r="AD24" i="15" s="1"/>
  <c r="AA50" i="11"/>
  <c r="V50" i="11"/>
  <c r="T24" i="15"/>
  <c r="Q50" i="11"/>
  <c r="O24" i="15" s="1"/>
  <c r="AO44" i="11"/>
  <c r="AK21" i="15" s="1"/>
  <c r="O44" i="11"/>
  <c r="M21" i="15" s="1"/>
  <c r="BG74" i="11"/>
  <c r="BB36" i="15" s="1"/>
  <c r="AQ74" i="11"/>
  <c r="AM36" i="15" s="1"/>
  <c r="AM74" i="11"/>
  <c r="AJ36" i="15" s="1"/>
  <c r="AA74" i="11"/>
  <c r="W74" i="11"/>
  <c r="U36" i="15" s="1"/>
  <c r="O74" i="11"/>
  <c r="M36" i="15" s="1"/>
  <c r="G74" i="11"/>
  <c r="F36" i="15" s="1"/>
  <c r="BA68" i="11"/>
  <c r="AW68" i="11"/>
  <c r="AS33" i="15" s="1"/>
  <c r="AO68" i="11"/>
  <c r="AK33" i="15" s="1"/>
  <c r="AG68" i="11"/>
  <c r="AD33" i="15" s="1"/>
  <c r="Q68" i="11"/>
  <c r="O33" i="15" s="1"/>
  <c r="M68" i="11"/>
  <c r="L33" i="15" s="1"/>
  <c r="BG62" i="11"/>
  <c r="BB30" i="15" s="1"/>
  <c r="AQ62" i="11"/>
  <c r="AM30" i="15" s="1"/>
  <c r="AM62" i="11"/>
  <c r="AJ30" i="15" s="1"/>
  <c r="AA62" i="11"/>
  <c r="W62" i="11"/>
  <c r="U30" i="15" s="1"/>
  <c r="O62" i="11"/>
  <c r="M30" i="15" s="1"/>
  <c r="G62" i="11"/>
  <c r="F30" i="15" s="1"/>
  <c r="BA56" i="11"/>
  <c r="AW56" i="11"/>
  <c r="AS27" i="15" s="1"/>
  <c r="AO56" i="11"/>
  <c r="AK27" i="15"/>
  <c r="AG56" i="11"/>
  <c r="AD27" i="15" s="1"/>
  <c r="Q56" i="11"/>
  <c r="O27" i="15" s="1"/>
  <c r="M56" i="11"/>
  <c r="L27" i="15" s="1"/>
  <c r="AM50" i="11"/>
  <c r="AJ24" i="15" s="1"/>
  <c r="AH50" i="11"/>
  <c r="AE24" i="15" s="1"/>
  <c r="W50" i="11"/>
  <c r="U24" i="15" s="1"/>
  <c r="R50" i="11"/>
  <c r="P24" i="15" s="1"/>
  <c r="BG44" i="11"/>
  <c r="BB21" i="15"/>
  <c r="BA44" i="11"/>
  <c r="AV44" i="11"/>
  <c r="AR21" i="15" s="1"/>
  <c r="AF44" i="11"/>
  <c r="AC21" i="15"/>
  <c r="P44" i="11"/>
  <c r="N21" i="15" s="1"/>
  <c r="BH14" i="11"/>
  <c r="BC6" i="15" s="1"/>
  <c r="BH26" i="11"/>
  <c r="BC12" i="15" s="1"/>
  <c r="BH32" i="11"/>
  <c r="BC15" i="15" s="1"/>
  <c r="BH20" i="11"/>
  <c r="BC9" i="15" s="1"/>
  <c r="BH38" i="11"/>
  <c r="BC18" i="15" s="1"/>
  <c r="BH50" i="11"/>
  <c r="BC24" i="15" s="1"/>
  <c r="BH8" i="11"/>
  <c r="BC3" i="15"/>
  <c r="AX8" i="11"/>
  <c r="AT3" i="15" s="1"/>
  <c r="AX20" i="11"/>
  <c r="AT9" i="15" s="1"/>
  <c r="AX26" i="11"/>
  <c r="AT12" i="15" s="1"/>
  <c r="AX14" i="11"/>
  <c r="AT6" i="15" s="1"/>
  <c r="AX38" i="11"/>
  <c r="AT18" i="15" s="1"/>
  <c r="AX44" i="11"/>
  <c r="AT21" i="15" s="1"/>
  <c r="AX32" i="11"/>
  <c r="AT15" i="15" s="1"/>
  <c r="AR14" i="11"/>
  <c r="AN6" i="15"/>
  <c r="AR26" i="11"/>
  <c r="AN12" i="15" s="1"/>
  <c r="AR32" i="11"/>
  <c r="AN15" i="15" s="1"/>
  <c r="AR8" i="11"/>
  <c r="AN3" i="15" s="1"/>
  <c r="AR38" i="11"/>
  <c r="AN18" i="15" s="1"/>
  <c r="AR50" i="11"/>
  <c r="AN24" i="15" s="1"/>
  <c r="AR20" i="11"/>
  <c r="AN9" i="15" s="1"/>
  <c r="AQ8" i="11"/>
  <c r="AM3" i="15" s="1"/>
  <c r="AQ14" i="11"/>
  <c r="AM6" i="15"/>
  <c r="AQ26" i="11"/>
  <c r="AM12" i="15" s="1"/>
  <c r="AQ20" i="11"/>
  <c r="AM9" i="15" s="1"/>
  <c r="AQ32" i="11"/>
  <c r="AM15" i="15" s="1"/>
  <c r="AQ38" i="11"/>
  <c r="AM18" i="15" s="1"/>
  <c r="AP8" i="11"/>
  <c r="AL3" i="15" s="1"/>
  <c r="AP20" i="11"/>
  <c r="AL9" i="15" s="1"/>
  <c r="AP26" i="11"/>
  <c r="AL12" i="15" s="1"/>
  <c r="AP38" i="11"/>
  <c r="AL18" i="15"/>
  <c r="AP44" i="11"/>
  <c r="AL21" i="15" s="1"/>
  <c r="AP32" i="11"/>
  <c r="AL15" i="15" s="1"/>
  <c r="AP14" i="11"/>
  <c r="AL6" i="15" s="1"/>
  <c r="O8" i="11"/>
  <c r="M3" i="15" s="1"/>
  <c r="AA8" i="11"/>
  <c r="O14" i="11"/>
  <c r="M6" i="15" s="1"/>
  <c r="AA14" i="11"/>
  <c r="O26" i="11"/>
  <c r="M12" i="15" s="1"/>
  <c r="AA26" i="11"/>
  <c r="AA20" i="11"/>
  <c r="O20" i="11"/>
  <c r="M9" i="15" s="1"/>
  <c r="O32" i="11"/>
  <c r="M15" i="15"/>
  <c r="AA32" i="11"/>
  <c r="AA38" i="11"/>
  <c r="O38" i="11"/>
  <c r="M18" i="15"/>
  <c r="M14" i="11"/>
  <c r="L6" i="15" s="1"/>
  <c r="M8" i="11"/>
  <c r="L3" i="15" s="1"/>
  <c r="M20" i="11"/>
  <c r="L9" i="15" s="1"/>
  <c r="M38" i="11"/>
  <c r="L18" i="15" s="1"/>
  <c r="M26" i="11"/>
  <c r="L12" i="15" s="1"/>
  <c r="M32" i="11"/>
  <c r="L15" i="15" s="1"/>
  <c r="L14" i="11"/>
  <c r="K6" i="15" s="1"/>
  <c r="L20" i="11"/>
  <c r="K9" i="15" s="1"/>
  <c r="H14" i="11"/>
  <c r="G6" i="15" s="1"/>
  <c r="H26" i="11"/>
  <c r="G12" i="15" s="1"/>
  <c r="H8" i="11"/>
  <c r="G3" i="15"/>
  <c r="H20" i="11"/>
  <c r="G9" i="15" s="1"/>
  <c r="H32" i="11"/>
  <c r="G15" i="15" s="1"/>
  <c r="H50" i="11"/>
  <c r="G24" i="15" s="1"/>
  <c r="H38" i="11"/>
  <c r="G18" i="15" s="1"/>
  <c r="G8" i="11"/>
  <c r="F3" i="15" s="1"/>
  <c r="G14" i="11"/>
  <c r="F6" i="15" s="1"/>
  <c r="G26" i="11"/>
  <c r="F12" i="15" s="1"/>
  <c r="G20" i="11"/>
  <c r="F9" i="15"/>
  <c r="G32" i="11"/>
  <c r="F15" i="15" s="1"/>
  <c r="G38" i="11"/>
  <c r="F18" i="15" s="1"/>
  <c r="F8" i="11"/>
  <c r="E3" i="15" s="1"/>
  <c r="F20" i="11"/>
  <c r="E9" i="15" s="1"/>
  <c r="F14" i="11"/>
  <c r="E6" i="15" s="1"/>
  <c r="F38" i="11"/>
  <c r="E18" i="15" s="1"/>
  <c r="F26" i="11"/>
  <c r="E12" i="15" s="1"/>
  <c r="F44" i="11"/>
  <c r="E21" i="15"/>
  <c r="F32" i="11"/>
  <c r="E15" i="15" s="1"/>
  <c r="B7" i="5"/>
  <c r="A22" i="15" s="1"/>
  <c r="B11" i="9"/>
  <c r="G37" i="14"/>
  <c r="BF80" i="11"/>
  <c r="BA39" i="15"/>
  <c r="AX80" i="11"/>
  <c r="AT39" i="15"/>
  <c r="AP80" i="11"/>
  <c r="AL39" i="15"/>
  <c r="AL80" i="11"/>
  <c r="AI39" i="15"/>
  <c r="AH80" i="11"/>
  <c r="AE39" i="15"/>
  <c r="V80" i="11"/>
  <c r="T39" i="15"/>
  <c r="R80" i="11"/>
  <c r="P39" i="15"/>
  <c r="F80" i="11"/>
  <c r="E39" i="15"/>
  <c r="BH74" i="11"/>
  <c r="BC36" i="15"/>
  <c r="AV74" i="11"/>
  <c r="AR36" i="15"/>
  <c r="AR74" i="11"/>
  <c r="AN36" i="15"/>
  <c r="AF74" i="11"/>
  <c r="AC36" i="15"/>
  <c r="X74" i="11"/>
  <c r="V36" i="15"/>
  <c r="P74" i="11"/>
  <c r="N36" i="15"/>
  <c r="H74" i="11"/>
  <c r="G36" i="15"/>
  <c r="BF68" i="11"/>
  <c r="BA33" i="15"/>
  <c r="AX68" i="11"/>
  <c r="AT33" i="15"/>
  <c r="AP68" i="11"/>
  <c r="AL33" i="15"/>
  <c r="AL68" i="11"/>
  <c r="AI33" i="15"/>
  <c r="AH68" i="11"/>
  <c r="AE33" i="15"/>
  <c r="V68" i="11"/>
  <c r="T33" i="15"/>
  <c r="R68" i="11"/>
  <c r="P33" i="15"/>
  <c r="F68" i="11"/>
  <c r="E33" i="15"/>
  <c r="BH62" i="11"/>
  <c r="BC30" i="15"/>
  <c r="AV62" i="11"/>
  <c r="AR30" i="15"/>
  <c r="AR62" i="11"/>
  <c r="AN30" i="15"/>
  <c r="AF62" i="11"/>
  <c r="AC30" i="15"/>
  <c r="X62" i="11"/>
  <c r="V30" i="15"/>
  <c r="P62" i="11"/>
  <c r="N30" i="15"/>
  <c r="H62" i="11"/>
  <c r="G30" i="15"/>
  <c r="BF56" i="11"/>
  <c r="BA27" i="15"/>
  <c r="AX56" i="11"/>
  <c r="AT27" i="15"/>
  <c r="AP56" i="11"/>
  <c r="AL27" i="15"/>
  <c r="AL56" i="11"/>
  <c r="AI27" i="15"/>
  <c r="AH56" i="11"/>
  <c r="AE27" i="15"/>
  <c r="V56" i="11"/>
  <c r="T27" i="15"/>
  <c r="R56" i="11"/>
  <c r="P27" i="15"/>
  <c r="F56" i="11"/>
  <c r="E27" i="15"/>
  <c r="AO50" i="11"/>
  <c r="AK24" i="15"/>
  <c r="BH44" i="11"/>
  <c r="BC21" i="15"/>
  <c r="AW44" i="11"/>
  <c r="AS21" i="15"/>
  <c r="AR44" i="11"/>
  <c r="AN21" i="15"/>
  <c r="AM44" i="11"/>
  <c r="AJ21" i="15"/>
  <c r="AG44" i="11"/>
  <c r="AD21" i="15"/>
  <c r="W44" i="11"/>
  <c r="U21" i="15"/>
  <c r="Q44" i="11"/>
  <c r="O21" i="15"/>
  <c r="G44" i="11"/>
  <c r="F21" i="15"/>
  <c r="BG80" i="11"/>
  <c r="BB39" i="15"/>
  <c r="BA74" i="11"/>
  <c r="AW74" i="11"/>
  <c r="AS36" i="15" s="1"/>
  <c r="AO74" i="11"/>
  <c r="AK36" i="15"/>
  <c r="AG74" i="11"/>
  <c r="AD36" i="15" s="1"/>
  <c r="Q74" i="11"/>
  <c r="O36" i="15" s="1"/>
  <c r="M74" i="11"/>
  <c r="L36" i="15" s="1"/>
  <c r="BG68" i="11"/>
  <c r="BB33" i="15" s="1"/>
  <c r="AQ68" i="11"/>
  <c r="AM33" i="15" s="1"/>
  <c r="AM68" i="11"/>
  <c r="AJ33" i="15" s="1"/>
  <c r="AA68" i="11"/>
  <c r="W68" i="11"/>
  <c r="U33" i="15"/>
  <c r="O68" i="11"/>
  <c r="M33" i="15"/>
  <c r="G68" i="11"/>
  <c r="F33" i="15"/>
  <c r="BA62" i="11"/>
  <c r="AW62" i="11"/>
  <c r="AS30" i="15" s="1"/>
  <c r="AO62" i="11"/>
  <c r="AK30" i="15"/>
  <c r="AG62" i="11"/>
  <c r="AD30" i="15" s="1"/>
  <c r="Q62" i="11"/>
  <c r="O30" i="15" s="1"/>
  <c r="M62" i="11"/>
  <c r="L30" i="15" s="1"/>
  <c r="BG56" i="11"/>
  <c r="BB27" i="15" s="1"/>
  <c r="AQ56" i="11"/>
  <c r="AM27" i="15" s="1"/>
  <c r="AM56" i="11"/>
  <c r="AJ27" i="15" s="1"/>
  <c r="AA56" i="11"/>
  <c r="W56" i="11"/>
  <c r="U27" i="15"/>
  <c r="O56" i="11"/>
  <c r="M27" i="15"/>
  <c r="G56" i="11"/>
  <c r="F27" i="15"/>
  <c r="BF50" i="11"/>
  <c r="BA24" i="15"/>
  <c r="BA50" i="11"/>
  <c r="AP50" i="11"/>
  <c r="AL24" i="15" s="1"/>
  <c r="O50" i="11"/>
  <c r="M24" i="15" s="1"/>
  <c r="X44" i="11"/>
  <c r="V21" i="15" s="1"/>
  <c r="M44" i="11"/>
  <c r="L21" i="15" s="1"/>
  <c r="H44" i="11"/>
  <c r="G21" i="15" s="1"/>
  <c r="B52" i="2"/>
  <c r="B17" i="3"/>
  <c r="F17" i="3"/>
  <c r="J17" i="3"/>
  <c r="J7" i="8" s="1"/>
  <c r="R17" i="3"/>
  <c r="R7" i="8" s="1"/>
  <c r="V17" i="3"/>
  <c r="Z17" i="3"/>
  <c r="AD17" i="3"/>
  <c r="AD15" i="6" s="1"/>
  <c r="AH17" i="3"/>
  <c r="AH15" i="6" s="1"/>
  <c r="AL17" i="3"/>
  <c r="AP17" i="3"/>
  <c r="AP7" i="8" s="1"/>
  <c r="AT17" i="3"/>
  <c r="AT7" i="8" s="1"/>
  <c r="AX17" i="3"/>
  <c r="BB17" i="3"/>
  <c r="BF17" i="3"/>
  <c r="BJ17" i="3"/>
  <c r="BJ15" i="6" s="1"/>
  <c r="BR17" i="3"/>
  <c r="BR15" i="6" s="1"/>
  <c r="BV17" i="3"/>
  <c r="BZ17" i="3"/>
  <c r="CD17" i="3"/>
  <c r="CD7" i="8" s="1"/>
  <c r="CH17" i="3"/>
  <c r="CH7" i="8" s="1"/>
  <c r="CL17" i="3"/>
  <c r="CP17" i="3"/>
  <c r="CT17" i="3"/>
  <c r="CX17" i="3"/>
  <c r="CX15" i="6" s="1"/>
  <c r="DB17" i="3"/>
  <c r="DF17" i="3"/>
  <c r="DF7" i="8" s="1"/>
  <c r="DJ17" i="3"/>
  <c r="DJ7" i="8" s="1"/>
  <c r="DR17" i="3"/>
  <c r="DV17" i="3"/>
  <c r="DZ17" i="3"/>
  <c r="ED17" i="3"/>
  <c r="ED7" i="8" s="1"/>
  <c r="EH17" i="3"/>
  <c r="EL17" i="3"/>
  <c r="E17" i="3"/>
  <c r="I17" i="3"/>
  <c r="I7" i="8" s="1"/>
  <c r="M17" i="3"/>
  <c r="M15" i="6" s="1"/>
  <c r="Q17" i="3"/>
  <c r="U17" i="3"/>
  <c r="U7" i="8" s="1"/>
  <c r="Y17" i="3"/>
  <c r="Y15" i="6" s="1"/>
  <c r="AC17" i="3"/>
  <c r="AC7" i="8" s="1"/>
  <c r="AG17" i="3"/>
  <c r="AK17" i="3"/>
  <c r="AO17" i="3"/>
  <c r="AO15" i="6" s="1"/>
  <c r="AS17" i="3"/>
  <c r="AS15" i="6" s="1"/>
  <c r="AW17" i="3"/>
  <c r="BE17" i="3"/>
  <c r="BI17" i="3"/>
  <c r="BI7" i="8" s="1"/>
  <c r="BM17" i="3"/>
  <c r="BQ17" i="3"/>
  <c r="BU17" i="3"/>
  <c r="BY17" i="3"/>
  <c r="BY15" i="6" s="1"/>
  <c r="CC17" i="3"/>
  <c r="CC15" i="6" s="1"/>
  <c r="CG17" i="3"/>
  <c r="CK17" i="3"/>
  <c r="CK7" i="8" s="1"/>
  <c r="CO17" i="3"/>
  <c r="CO15" i="6" s="1"/>
  <c r="CS17" i="3"/>
  <c r="CS7" i="8" s="1"/>
  <c r="CW17" i="3"/>
  <c r="DE17" i="3"/>
  <c r="DI17" i="3"/>
  <c r="DI15" i="6" s="1"/>
  <c r="DM17" i="3"/>
  <c r="DM15" i="6" s="1"/>
  <c r="DQ17" i="3"/>
  <c r="DU17" i="3"/>
  <c r="DY17" i="3"/>
  <c r="DY7" i="8" s="1"/>
  <c r="EC17" i="3"/>
  <c r="EG17" i="3"/>
  <c r="EK17" i="3"/>
  <c r="EK7" i="8" s="1"/>
  <c r="H17" i="3"/>
  <c r="H7" i="8" s="1"/>
  <c r="P17" i="3"/>
  <c r="P7" i="8" s="1"/>
  <c r="X17" i="3"/>
  <c r="AF17" i="3"/>
  <c r="AV17" i="3"/>
  <c r="AV15" i="6" s="1"/>
  <c r="BD17" i="3"/>
  <c r="BL17" i="3"/>
  <c r="BT17" i="3"/>
  <c r="CB17" i="3"/>
  <c r="CB7" i="8" s="1"/>
  <c r="CJ17" i="3"/>
  <c r="CJ7" i="8" s="1"/>
  <c r="CR17" i="3"/>
  <c r="CZ17" i="3"/>
  <c r="DH17" i="3"/>
  <c r="DH7" i="8" s="1"/>
  <c r="DP17" i="3"/>
  <c r="DX17" i="3"/>
  <c r="EF17" i="3"/>
  <c r="EF15" i="6" s="1"/>
  <c r="G17" i="3"/>
  <c r="G15" i="6" s="1"/>
  <c r="O17" i="3"/>
  <c r="O15" i="6" s="1"/>
  <c r="W17" i="3"/>
  <c r="AE17" i="3"/>
  <c r="AM17" i="3"/>
  <c r="AM15" i="6" s="1"/>
  <c r="AU17" i="3"/>
  <c r="BC17" i="3"/>
  <c r="BK17" i="3"/>
  <c r="BS17" i="3"/>
  <c r="CI17" i="3"/>
  <c r="CI7" i="8" s="1"/>
  <c r="CQ17" i="3"/>
  <c r="CY17" i="3"/>
  <c r="DG17" i="3"/>
  <c r="DG15" i="6" s="1"/>
  <c r="DO17" i="3"/>
  <c r="DW17" i="3"/>
  <c r="EE17" i="3"/>
  <c r="EM17" i="3"/>
  <c r="EM7" i="8" s="1"/>
  <c r="D17" i="3"/>
  <c r="L17" i="3"/>
  <c r="T17" i="3"/>
  <c r="T7" i="8" s="1"/>
  <c r="AB17" i="3"/>
  <c r="AJ17" i="3"/>
  <c r="AR17" i="3"/>
  <c r="AZ17" i="3"/>
  <c r="BH17" i="3"/>
  <c r="BH7" i="8" s="1"/>
  <c r="BP17" i="3"/>
  <c r="BP15" i="6" s="1"/>
  <c r="BX17" i="3"/>
  <c r="CF17" i="3"/>
  <c r="CV17" i="3"/>
  <c r="CV15" i="6" s="1"/>
  <c r="DD17" i="3"/>
  <c r="DD15" i="6" s="1"/>
  <c r="DL17" i="3"/>
  <c r="DT17" i="3"/>
  <c r="EB17" i="3"/>
  <c r="EB15" i="6" s="1"/>
  <c r="EJ17" i="3"/>
  <c r="EJ15" i="6" s="1"/>
  <c r="C17" i="3"/>
  <c r="K17" i="3"/>
  <c r="S17" i="3"/>
  <c r="S7" i="8" s="1"/>
  <c r="AI17" i="3"/>
  <c r="AQ17" i="3"/>
  <c r="AY17" i="3"/>
  <c r="BG17" i="3"/>
  <c r="BG15" i="6" s="1"/>
  <c r="BO17" i="3"/>
  <c r="BO15" i="6" s="1"/>
  <c r="BW17" i="3"/>
  <c r="CE17" i="3"/>
  <c r="CE7" i="8" s="1"/>
  <c r="CM17" i="3"/>
  <c r="CM15" i="6" s="1"/>
  <c r="CU17" i="3"/>
  <c r="DC17" i="3"/>
  <c r="DK17" i="3"/>
  <c r="DS17" i="3"/>
  <c r="DS15" i="6" s="1"/>
  <c r="EI17" i="3"/>
  <c r="EI7" i="8" s="1"/>
  <c r="B11" i="3"/>
  <c r="B13" i="3"/>
  <c r="B7" i="4"/>
  <c r="B15" i="4"/>
  <c r="B12" i="5"/>
  <c r="B13" i="6"/>
  <c r="B15" i="3" s="1"/>
  <c r="B19" i="3"/>
  <c r="F19" i="3"/>
  <c r="F17" i="6" s="1"/>
  <c r="J19" i="3"/>
  <c r="E19" i="3"/>
  <c r="I19" i="3"/>
  <c r="I9" i="8" s="1"/>
  <c r="M19" i="3"/>
  <c r="M17" i="6" s="1"/>
  <c r="G19" i="3"/>
  <c r="O19" i="3"/>
  <c r="O9" i="8" s="1"/>
  <c r="S19" i="3"/>
  <c r="S17" i="6" s="1"/>
  <c r="W19" i="3"/>
  <c r="W17" i="6" s="1"/>
  <c r="AE19" i="3"/>
  <c r="AI19" i="3"/>
  <c r="AI9" i="8" s="1"/>
  <c r="AM19" i="3"/>
  <c r="AQ19" i="3"/>
  <c r="AQ17" i="6" s="1"/>
  <c r="AU19" i="3"/>
  <c r="AY19" i="3"/>
  <c r="BC19" i="3"/>
  <c r="BC9" i="8" s="1"/>
  <c r="BG19" i="3"/>
  <c r="BG17" i="6" s="1"/>
  <c r="BK19" i="3"/>
  <c r="BO19" i="3"/>
  <c r="BS19" i="3"/>
  <c r="BS17" i="6" s="1"/>
  <c r="BW19" i="3"/>
  <c r="BW17" i="6" s="1"/>
  <c r="CE19" i="3"/>
  <c r="CI19" i="3"/>
  <c r="CM19" i="3"/>
  <c r="CM9" i="8" s="1"/>
  <c r="CQ19" i="3"/>
  <c r="CQ17" i="6" s="1"/>
  <c r="CU19" i="3"/>
  <c r="CU9" i="8" s="1"/>
  <c r="CY19" i="3"/>
  <c r="CY17" i="6" s="1"/>
  <c r="DC19" i="3"/>
  <c r="DC17" i="6" s="1"/>
  <c r="DG19" i="3"/>
  <c r="DG17" i="6" s="1"/>
  <c r="DK19" i="3"/>
  <c r="DO19" i="3"/>
  <c r="DO17" i="6" s="1"/>
  <c r="DS19" i="3"/>
  <c r="DS9" i="8" s="1"/>
  <c r="DW19" i="3"/>
  <c r="DW17" i="6" s="1"/>
  <c r="EE19" i="3"/>
  <c r="EI19" i="3"/>
  <c r="EM19" i="3"/>
  <c r="EM17" i="6" s="1"/>
  <c r="D19" i="3"/>
  <c r="D9" i="8" s="1"/>
  <c r="L19" i="3"/>
  <c r="R19" i="3"/>
  <c r="R9" i="8" s="1"/>
  <c r="V19" i="3"/>
  <c r="V9" i="8" s="1"/>
  <c r="Z19" i="3"/>
  <c r="Z17" i="6" s="1"/>
  <c r="AD19" i="3"/>
  <c r="AH19" i="3"/>
  <c r="AL19" i="3"/>
  <c r="AL17" i="6" s="1"/>
  <c r="AP19" i="3"/>
  <c r="AP17" i="6" s="1"/>
  <c r="AT19" i="3"/>
  <c r="AT9" i="8" s="1"/>
  <c r="AX19" i="3"/>
  <c r="AX9" i="8" s="1"/>
  <c r="BB19" i="3"/>
  <c r="BB9" i="8" s="1"/>
  <c r="BF19" i="3"/>
  <c r="BF17" i="6" s="1"/>
  <c r="BJ19" i="3"/>
  <c r="BR19" i="3"/>
  <c r="BV19" i="3"/>
  <c r="BV9" i="8" s="1"/>
  <c r="BZ19" i="3"/>
  <c r="BZ17" i="6" s="1"/>
  <c r="CD19" i="3"/>
  <c r="CH19" i="3"/>
  <c r="CH9" i="8" s="1"/>
  <c r="CL19" i="3"/>
  <c r="CP19" i="3"/>
  <c r="CP17" i="6" s="1"/>
  <c r="CT19" i="3"/>
  <c r="CT9" i="8" s="1"/>
  <c r="CX19" i="3"/>
  <c r="DB19" i="3"/>
  <c r="DF19" i="3"/>
  <c r="DF17" i="6" s="1"/>
  <c r="DJ19" i="3"/>
  <c r="DR19" i="3"/>
  <c r="DR9" i="8" s="1"/>
  <c r="DV19" i="3"/>
  <c r="DV17" i="6" s="1"/>
  <c r="DZ19" i="3"/>
  <c r="DZ17" i="6" s="1"/>
  <c r="ED19" i="3"/>
  <c r="EH19" i="3"/>
  <c r="EL19" i="3"/>
  <c r="EL9" i="8" s="1"/>
  <c r="C19" i="3"/>
  <c r="C17" i="6" s="1"/>
  <c r="K19" i="3"/>
  <c r="Q19" i="3"/>
  <c r="Q9" i="8" s="1"/>
  <c r="U19" i="3"/>
  <c r="U17" i="6" s="1"/>
  <c r="Y19" i="3"/>
  <c r="Y17" i="6" s="1"/>
  <c r="AC19" i="3"/>
  <c r="AC9" i="8" s="1"/>
  <c r="AG19" i="3"/>
  <c r="AK19" i="3"/>
  <c r="AK9" i="8" s="1"/>
  <c r="AO19" i="3"/>
  <c r="AO9" i="8" s="1"/>
  <c r="AS19" i="3"/>
  <c r="AW19" i="3"/>
  <c r="AW9" i="8" s="1"/>
  <c r="BE19" i="3"/>
  <c r="BE17" i="6" s="1"/>
  <c r="BI19" i="3"/>
  <c r="BI9" i="8" s="1"/>
  <c r="BM19" i="3"/>
  <c r="BQ19" i="3"/>
  <c r="BU19" i="3"/>
  <c r="BU9" i="8" s="1"/>
  <c r="BY19" i="3"/>
  <c r="BY9" i="8" s="1"/>
  <c r="CC19" i="3"/>
  <c r="CC9" i="8" s="1"/>
  <c r="CG19" i="3"/>
  <c r="CK19" i="3"/>
  <c r="CK17" i="6" s="1"/>
  <c r="CO19" i="3"/>
  <c r="CO9" i="8" s="1"/>
  <c r="CS19" i="3"/>
  <c r="CW19" i="3"/>
  <c r="DE19" i="3"/>
  <c r="DE9" i="8" s="1"/>
  <c r="DI19" i="3"/>
  <c r="DI9" i="8" s="1"/>
  <c r="DM19" i="3"/>
  <c r="DQ19" i="3"/>
  <c r="DQ9" i="8" s="1"/>
  <c r="DU19" i="3"/>
  <c r="DU17" i="6" s="1"/>
  <c r="DY19" i="3"/>
  <c r="DY9" i="8" s="1"/>
  <c r="EC19" i="3"/>
  <c r="EG19" i="3"/>
  <c r="EK19" i="3"/>
  <c r="EK9" i="8" s="1"/>
  <c r="H19" i="3"/>
  <c r="H9" i="8" s="1"/>
  <c r="P19" i="3"/>
  <c r="P9" i="8" s="1"/>
  <c r="T19" i="3"/>
  <c r="T17" i="6" s="1"/>
  <c r="X19" i="3"/>
  <c r="X17" i="6" s="1"/>
  <c r="AB19" i="3"/>
  <c r="AF19" i="3"/>
  <c r="AJ19" i="3"/>
  <c r="AR19" i="3"/>
  <c r="AV19" i="3"/>
  <c r="AV17" i="6" s="1"/>
  <c r="AZ19" i="3"/>
  <c r="BD19" i="3"/>
  <c r="BD9" i="8" s="1"/>
  <c r="BH19" i="3"/>
  <c r="BH9" i="8" s="1"/>
  <c r="BL19" i="3"/>
  <c r="BP19" i="3"/>
  <c r="BT19" i="3"/>
  <c r="BX19" i="3"/>
  <c r="BX17" i="6" s="1"/>
  <c r="CB19" i="3"/>
  <c r="CB17" i="6" s="1"/>
  <c r="CF19" i="3"/>
  <c r="CJ19" i="3"/>
  <c r="CR19" i="3"/>
  <c r="CV19" i="3"/>
  <c r="CZ19" i="3"/>
  <c r="CZ9" i="8" s="1"/>
  <c r="DD19" i="3"/>
  <c r="DH19" i="3"/>
  <c r="DH17" i="6" s="1"/>
  <c r="DL19" i="3"/>
  <c r="DL9" i="8" s="1"/>
  <c r="DP19" i="3"/>
  <c r="DT19" i="3"/>
  <c r="DX19" i="3"/>
  <c r="DX9" i="8" s="1"/>
  <c r="EB19" i="3"/>
  <c r="EF19" i="3"/>
  <c r="EJ19" i="3"/>
  <c r="CZ17" i="6"/>
  <c r="BP9" i="8"/>
  <c r="BP17" i="6"/>
  <c r="P17" i="6"/>
  <c r="DM17" i="6"/>
  <c r="DM9" i="8"/>
  <c r="CC17" i="6"/>
  <c r="AS17" i="6"/>
  <c r="AS9" i="8"/>
  <c r="AC17" i="6"/>
  <c r="ED17" i="6"/>
  <c r="ED9" i="8"/>
  <c r="CT17" i="6"/>
  <c r="BJ17" i="6"/>
  <c r="BJ9" i="8"/>
  <c r="AT17" i="6"/>
  <c r="EE17" i="6"/>
  <c r="EE9" i="8"/>
  <c r="CU17" i="6"/>
  <c r="G17" i="6"/>
  <c r="G9" i="8"/>
  <c r="BH17" i="6"/>
  <c r="BE9" i="8"/>
  <c r="DV9" i="8"/>
  <c r="BV17" i="6"/>
  <c r="DC9" i="8"/>
  <c r="S9" i="8"/>
  <c r="BP7" i="8"/>
  <c r="CC7" i="8"/>
  <c r="DL17" i="6"/>
  <c r="DY17" i="6"/>
  <c r="BI17" i="6"/>
  <c r="C9" i="8"/>
  <c r="BZ9" i="8"/>
  <c r="D17" i="6"/>
  <c r="BW9" i="8"/>
  <c r="M9" i="8"/>
  <c r="B13" i="4"/>
  <c r="A37" i="15"/>
  <c r="DC15" i="6"/>
  <c r="DC7" i="8"/>
  <c r="BW15" i="6"/>
  <c r="BW7" i="8"/>
  <c r="AQ15" i="6"/>
  <c r="AQ7" i="8"/>
  <c r="C15" i="6"/>
  <c r="C7" i="8"/>
  <c r="DL15" i="6"/>
  <c r="DL7" i="8"/>
  <c r="BX15" i="6"/>
  <c r="BX7" i="8"/>
  <c r="AR15" i="6"/>
  <c r="AR7" i="8"/>
  <c r="L15" i="6"/>
  <c r="L7" i="8"/>
  <c r="DW15" i="6"/>
  <c r="DW7" i="8"/>
  <c r="CQ15" i="6"/>
  <c r="CQ7" i="8"/>
  <c r="BC15" i="6"/>
  <c r="BC7" i="8"/>
  <c r="W15" i="6"/>
  <c r="W7" i="8"/>
  <c r="DX7" i="8"/>
  <c r="DX15" i="6"/>
  <c r="CR7" i="8"/>
  <c r="CR15" i="6"/>
  <c r="BL7" i="8"/>
  <c r="BL15" i="6"/>
  <c r="X7" i="8"/>
  <c r="X15" i="6"/>
  <c r="EG15" i="6"/>
  <c r="EG7" i="8"/>
  <c r="DQ15" i="6"/>
  <c r="DQ7" i="8"/>
  <c r="CW15" i="6"/>
  <c r="CW7" i="8"/>
  <c r="CG15" i="6"/>
  <c r="CG7" i="8"/>
  <c r="BQ15" i="6"/>
  <c r="BQ7" i="8"/>
  <c r="AW15" i="6"/>
  <c r="AW7" i="8"/>
  <c r="AG15" i="6"/>
  <c r="AG7" i="8"/>
  <c r="Q15" i="6"/>
  <c r="Q7" i="8"/>
  <c r="EL15" i="6"/>
  <c r="EL7" i="8"/>
  <c r="DV15" i="6"/>
  <c r="DV7" i="8"/>
  <c r="DB15" i="6"/>
  <c r="DB7" i="8"/>
  <c r="CL15" i="6"/>
  <c r="CL7" i="8"/>
  <c r="BV15" i="6"/>
  <c r="BV7" i="8"/>
  <c r="BB15" i="6"/>
  <c r="BB7" i="8"/>
  <c r="AL15" i="6"/>
  <c r="AL7" i="8"/>
  <c r="V15" i="6"/>
  <c r="V7" i="8"/>
  <c r="B15" i="6"/>
  <c r="B7" i="8"/>
  <c r="S6" i="4"/>
  <c r="S6" i="6"/>
  <c r="S6" i="7"/>
  <c r="S10" i="11"/>
  <c r="S11" i="11"/>
  <c r="Q2" i="15" s="1"/>
  <c r="S23" i="11"/>
  <c r="Q8" i="15" s="1"/>
  <c r="S16" i="11"/>
  <c r="S29" i="11"/>
  <c r="Q11" i="15" s="1"/>
  <c r="S34" i="11"/>
  <c r="S37" i="11"/>
  <c r="S49" i="11"/>
  <c r="S22" i="11"/>
  <c r="S41" i="11"/>
  <c r="Q17" i="15" s="1"/>
  <c r="S19" i="11"/>
  <c r="S58" i="11"/>
  <c r="S52" i="11"/>
  <c r="S61" i="11"/>
  <c r="S73" i="11"/>
  <c r="S64" i="11"/>
  <c r="S53" i="11"/>
  <c r="Q23" i="15" s="1"/>
  <c r="S65" i="11"/>
  <c r="Q29" i="15" s="1"/>
  <c r="S77" i="11"/>
  <c r="Q35" i="15" s="1"/>
  <c r="S13" i="12"/>
  <c r="T6" i="5"/>
  <c r="T13" i="11"/>
  <c r="T35" i="11"/>
  <c r="R14" i="15" s="1"/>
  <c r="T52" i="11"/>
  <c r="T64" i="11"/>
  <c r="T77" i="11"/>
  <c r="R35" i="15" s="1"/>
  <c r="T83" i="11"/>
  <c r="R38" i="15" s="1"/>
  <c r="AK6" i="3"/>
  <c r="AK6" i="4"/>
  <c r="AK6" i="5"/>
  <c r="AK6" i="6"/>
  <c r="AK6" i="7"/>
  <c r="AK6" i="8"/>
  <c r="AK7" i="11"/>
  <c r="AK6" i="9"/>
  <c r="AK17" i="11"/>
  <c r="AH5" i="15" s="1"/>
  <c r="AK19" i="11"/>
  <c r="AK10" i="11"/>
  <c r="AK22" i="11"/>
  <c r="AK11" i="11"/>
  <c r="AH2" i="15" s="1"/>
  <c r="AK13" i="11"/>
  <c r="AK35" i="11"/>
  <c r="AH14" i="15" s="1"/>
  <c r="AK37" i="11"/>
  <c r="AK23" i="11"/>
  <c r="AH8" i="15" s="1"/>
  <c r="AK25" i="11"/>
  <c r="AK28" i="11"/>
  <c r="AK40" i="11"/>
  <c r="AK34" i="11"/>
  <c r="AK41" i="11"/>
  <c r="AH17" i="15" s="1"/>
  <c r="AK43" i="11"/>
  <c r="AK16" i="11"/>
  <c r="AK29" i="11"/>
  <c r="AH11" i="15" s="1"/>
  <c r="AK31" i="11"/>
  <c r="AK52" i="11"/>
  <c r="AK64" i="11"/>
  <c r="AK76" i="11"/>
  <c r="AK53" i="11"/>
  <c r="AH23" i="15" s="1"/>
  <c r="AK55" i="11"/>
  <c r="AK65" i="11"/>
  <c r="AH29" i="15" s="1"/>
  <c r="AK67" i="11"/>
  <c r="AK77" i="11"/>
  <c r="AH35" i="15" s="1"/>
  <c r="AK79" i="11"/>
  <c r="AK46" i="11"/>
  <c r="AK58" i="11"/>
  <c r="AK70" i="11"/>
  <c r="AK47" i="11"/>
  <c r="AH20" i="15" s="1"/>
  <c r="AK49" i="11"/>
  <c r="AK59" i="11"/>
  <c r="AH26" i="15" s="1"/>
  <c r="AK61" i="11"/>
  <c r="AK71" i="11"/>
  <c r="AH32" i="15"/>
  <c r="AK73" i="11"/>
  <c r="AK83" i="11"/>
  <c r="AH38" i="15" s="1"/>
  <c r="AK13" i="12"/>
  <c r="AK82" i="11"/>
  <c r="CA6" i="3"/>
  <c r="CA6" i="4"/>
  <c r="CA6" i="5"/>
  <c r="CA6" i="6"/>
  <c r="CA6" i="9"/>
  <c r="CA6" i="7"/>
  <c r="CA6" i="8"/>
  <c r="CA10" i="11"/>
  <c r="CA13" i="11"/>
  <c r="CA25" i="11"/>
  <c r="CA16" i="11"/>
  <c r="CA19" i="11"/>
  <c r="CA22" i="11"/>
  <c r="CA31" i="11"/>
  <c r="CA7" i="11"/>
  <c r="CA34" i="11"/>
  <c r="CA49" i="11"/>
  <c r="CA40" i="11"/>
  <c r="CA28" i="11"/>
  <c r="CA37" i="11"/>
  <c r="CA43" i="11"/>
  <c r="CA52" i="11"/>
  <c r="CA58" i="11"/>
  <c r="CA70" i="11"/>
  <c r="CA61" i="11"/>
  <c r="CA73" i="11"/>
  <c r="CA64" i="11"/>
  <c r="CA76" i="11"/>
  <c r="CA46" i="11"/>
  <c r="CA55" i="11"/>
  <c r="CA67" i="11"/>
  <c r="CA79" i="11"/>
  <c r="CA13" i="12"/>
  <c r="CA82" i="11"/>
  <c r="EA6" i="3"/>
  <c r="EA6" i="4"/>
  <c r="EA6" i="5"/>
  <c r="EA6" i="6"/>
  <c r="EA6" i="9"/>
  <c r="EA6" i="7"/>
  <c r="EA6" i="8"/>
  <c r="EA10" i="11"/>
  <c r="EA13" i="11"/>
  <c r="EA25" i="11"/>
  <c r="EA16" i="11"/>
  <c r="EA7" i="11"/>
  <c r="EA31" i="11"/>
  <c r="EA34" i="11"/>
  <c r="EA22" i="11"/>
  <c r="EA28" i="11"/>
  <c r="EA37" i="11"/>
  <c r="EA49" i="11"/>
  <c r="EA19" i="11"/>
  <c r="EA40" i="11"/>
  <c r="EA46" i="11"/>
  <c r="EA58" i="11"/>
  <c r="EA70" i="11"/>
  <c r="EA61" i="11"/>
  <c r="EA73" i="11"/>
  <c r="EA43" i="11"/>
  <c r="EA52" i="11"/>
  <c r="EA64" i="11"/>
  <c r="EA76" i="11"/>
  <c r="EA55" i="11"/>
  <c r="EA67" i="11"/>
  <c r="EA79" i="11"/>
  <c r="EA13" i="12"/>
  <c r="EA82" i="11"/>
  <c r="D6" i="3"/>
  <c r="D6" i="4"/>
  <c r="D6" i="5"/>
  <c r="D6" i="6"/>
  <c r="D6" i="7"/>
  <c r="D6" i="8"/>
  <c r="D6" i="9"/>
  <c r="D7" i="11"/>
  <c r="D11" i="11"/>
  <c r="C2" i="15" s="1"/>
  <c r="D13" i="11"/>
  <c r="D16" i="11"/>
  <c r="D17" i="11"/>
  <c r="C5" i="15" s="1"/>
  <c r="D19" i="11"/>
  <c r="D10" i="11"/>
  <c r="D34" i="11"/>
  <c r="D22" i="11"/>
  <c r="D35" i="11"/>
  <c r="C14" i="15" s="1"/>
  <c r="D37" i="11"/>
  <c r="D29" i="11"/>
  <c r="C11" i="15"/>
  <c r="D31" i="11"/>
  <c r="D52" i="11"/>
  <c r="D40" i="11"/>
  <c r="D41" i="11"/>
  <c r="C17" i="15" s="1"/>
  <c r="D43" i="11"/>
  <c r="D23" i="11"/>
  <c r="C8" i="15" s="1"/>
  <c r="D25" i="11"/>
  <c r="D28" i="11"/>
  <c r="D47" i="11"/>
  <c r="C20" i="15" s="1"/>
  <c r="D49" i="11"/>
  <c r="D59" i="11"/>
  <c r="C26" i="15" s="1"/>
  <c r="D61" i="11"/>
  <c r="D71" i="11"/>
  <c r="C32" i="15" s="1"/>
  <c r="D73" i="11"/>
  <c r="D64" i="11"/>
  <c r="D76" i="11"/>
  <c r="D53" i="11"/>
  <c r="C23" i="15" s="1"/>
  <c r="D55" i="11"/>
  <c r="D65" i="11"/>
  <c r="C29" i="15" s="1"/>
  <c r="D67" i="11"/>
  <c r="D77" i="11"/>
  <c r="C35" i="15" s="1"/>
  <c r="D79" i="11"/>
  <c r="D46" i="11"/>
  <c r="D58" i="11"/>
  <c r="D70" i="11"/>
  <c r="D82" i="11"/>
  <c r="D13" i="12"/>
  <c r="D83" i="11"/>
  <c r="C38" i="15" s="1"/>
  <c r="U6" i="3"/>
  <c r="U6" i="4"/>
  <c r="U6" i="5"/>
  <c r="U6" i="6"/>
  <c r="U6" i="7"/>
  <c r="U6" i="8"/>
  <c r="U7" i="11"/>
  <c r="U6" i="9"/>
  <c r="U17" i="11"/>
  <c r="S5" i="15" s="1"/>
  <c r="U19" i="11"/>
  <c r="U10" i="11"/>
  <c r="U22" i="11"/>
  <c r="U11" i="11"/>
  <c r="S2" i="15"/>
  <c r="U13" i="11"/>
  <c r="U35" i="11"/>
  <c r="S14" i="15" s="1"/>
  <c r="U37" i="11"/>
  <c r="U23" i="11"/>
  <c r="S8" i="15" s="1"/>
  <c r="U25" i="11"/>
  <c r="U28" i="11"/>
  <c r="U40" i="11"/>
  <c r="U16" i="11"/>
  <c r="U34" i="11"/>
  <c r="U41" i="11"/>
  <c r="S17" i="15" s="1"/>
  <c r="U43" i="11"/>
  <c r="U29" i="11"/>
  <c r="S11" i="15" s="1"/>
  <c r="U31" i="11"/>
  <c r="U52" i="11"/>
  <c r="U64" i="11"/>
  <c r="U76" i="11"/>
  <c r="U53" i="11"/>
  <c r="S23" i="15" s="1"/>
  <c r="U55" i="11"/>
  <c r="U65" i="11"/>
  <c r="S29" i="15" s="1"/>
  <c r="U67" i="11"/>
  <c r="U77" i="11"/>
  <c r="S35" i="15" s="1"/>
  <c r="U79" i="11"/>
  <c r="U46" i="11"/>
  <c r="U58" i="11"/>
  <c r="U70" i="11"/>
  <c r="U47" i="11"/>
  <c r="S20" i="15" s="1"/>
  <c r="U49" i="11"/>
  <c r="U59" i="11"/>
  <c r="S26" i="15" s="1"/>
  <c r="U61" i="11"/>
  <c r="U71" i="11"/>
  <c r="S32" i="15" s="1"/>
  <c r="U73" i="11"/>
  <c r="U83" i="11"/>
  <c r="S38" i="15" s="1"/>
  <c r="U13" i="12"/>
  <c r="U82" i="11"/>
  <c r="AN6" i="5"/>
  <c r="AN10" i="11"/>
  <c r="AN76" i="11"/>
  <c r="AD6" i="3"/>
  <c r="AD6" i="4"/>
  <c r="AD6" i="5"/>
  <c r="AD6" i="6"/>
  <c r="AD6" i="9"/>
  <c r="AD6" i="7"/>
  <c r="AD6" i="8"/>
  <c r="AD7" i="11"/>
  <c r="AD10" i="11"/>
  <c r="AD22" i="11"/>
  <c r="AD11" i="11"/>
  <c r="AA2" i="15" s="1"/>
  <c r="AD13" i="11"/>
  <c r="AD23" i="11"/>
  <c r="AA8" i="15" s="1"/>
  <c r="AD25" i="11"/>
  <c r="AD28" i="11"/>
  <c r="AD16" i="11"/>
  <c r="AD19" i="11"/>
  <c r="AD29" i="11"/>
  <c r="AA11" i="15" s="1"/>
  <c r="AD31" i="11"/>
  <c r="AD35" i="11"/>
  <c r="AA14" i="15" s="1"/>
  <c r="AD46" i="11"/>
  <c r="AD17" i="11"/>
  <c r="AA5" i="15" s="1"/>
  <c r="AD40" i="11"/>
  <c r="AD34" i="11"/>
  <c r="AD37" i="11"/>
  <c r="AD41" i="11"/>
  <c r="AA17" i="15" s="1"/>
  <c r="AD43" i="11"/>
  <c r="AD47" i="11"/>
  <c r="AA20" i="15" s="1"/>
  <c r="AD49" i="11"/>
  <c r="AD53" i="11"/>
  <c r="AA23" i="15"/>
  <c r="AD55" i="11"/>
  <c r="AD65" i="11"/>
  <c r="AA29" i="15" s="1"/>
  <c r="AD67" i="11"/>
  <c r="AD77" i="11"/>
  <c r="AA35" i="15" s="1"/>
  <c r="AD79" i="11"/>
  <c r="AD52" i="11"/>
  <c r="AD58" i="11"/>
  <c r="AD70" i="11"/>
  <c r="AD82" i="11"/>
  <c r="AD13" i="12"/>
  <c r="AD59" i="11"/>
  <c r="AA26" i="15" s="1"/>
  <c r="AD61" i="11"/>
  <c r="AD71" i="11"/>
  <c r="AA32" i="15" s="1"/>
  <c r="AD73" i="11"/>
  <c r="AD64" i="11"/>
  <c r="AD76" i="11"/>
  <c r="AD83" i="11"/>
  <c r="AA38" i="15" s="1"/>
  <c r="AY6" i="3"/>
  <c r="AY6" i="4"/>
  <c r="AY6" i="9"/>
  <c r="AY6" i="7"/>
  <c r="AY7" i="11"/>
  <c r="AY11" i="11"/>
  <c r="AU2" i="15" s="1"/>
  <c r="AY23" i="11"/>
  <c r="AU8" i="15" s="1"/>
  <c r="AY17" i="11"/>
  <c r="AU5" i="15" s="1"/>
  <c r="AY31" i="11"/>
  <c r="AY34" i="11"/>
  <c r="AY47" i="11"/>
  <c r="AU20" i="15" s="1"/>
  <c r="AY40" i="11"/>
  <c r="AY43" i="11"/>
  <c r="AY58" i="11"/>
  <c r="AY70" i="11"/>
  <c r="AY61" i="11"/>
  <c r="AY73" i="11"/>
  <c r="AY83" i="11"/>
  <c r="AU38" i="15" s="1"/>
  <c r="AY76" i="11"/>
  <c r="AY53" i="11"/>
  <c r="AU23" i="15" s="1"/>
  <c r="AY65" i="11"/>
  <c r="AU29" i="15" s="1"/>
  <c r="AY79" i="11"/>
  <c r="AI6" i="3"/>
  <c r="AI6" i="4"/>
  <c r="AI6" i="5"/>
  <c r="AI6" i="6"/>
  <c r="AI6" i="9"/>
  <c r="AI6" i="7"/>
  <c r="AI6" i="8"/>
  <c r="AI10" i="11"/>
  <c r="AI7" i="11"/>
  <c r="AI11" i="11"/>
  <c r="AF2" i="15" s="1"/>
  <c r="AI13" i="11"/>
  <c r="AI23" i="11"/>
  <c r="AF8" i="15" s="1"/>
  <c r="AI25" i="11"/>
  <c r="AI16" i="11"/>
  <c r="AI17" i="11"/>
  <c r="AF5" i="15" s="1"/>
  <c r="AI29" i="11"/>
  <c r="AF11" i="15" s="1"/>
  <c r="AI31" i="11"/>
  <c r="AI34" i="11"/>
  <c r="AI22" i="11"/>
  <c r="AI28" i="11"/>
  <c r="AI37" i="11"/>
  <c r="AI47" i="11"/>
  <c r="AF20" i="15" s="1"/>
  <c r="AI49" i="11"/>
  <c r="AI19" i="11"/>
  <c r="AI35" i="11"/>
  <c r="AF14" i="15" s="1"/>
  <c r="AI40" i="11"/>
  <c r="AI41" i="11"/>
  <c r="AF17" i="15" s="1"/>
  <c r="AI43" i="11"/>
  <c r="AI46" i="11"/>
  <c r="AI58" i="11"/>
  <c r="AI70" i="11"/>
  <c r="AI52" i="11"/>
  <c r="AI59" i="11"/>
  <c r="AF26" i="15" s="1"/>
  <c r="AI61" i="11"/>
  <c r="AI71" i="11"/>
  <c r="AF32" i="15" s="1"/>
  <c r="AI73" i="11"/>
  <c r="AI83" i="11"/>
  <c r="AF38" i="15" s="1"/>
  <c r="AI64" i="11"/>
  <c r="AI76" i="11"/>
  <c r="AI53" i="11"/>
  <c r="AF23" i="15" s="1"/>
  <c r="AI55" i="11"/>
  <c r="AI65" i="11"/>
  <c r="AF29" i="15" s="1"/>
  <c r="AI67" i="11"/>
  <c r="AI77" i="11"/>
  <c r="AF35" i="15" s="1"/>
  <c r="AI79" i="11"/>
  <c r="AI13" i="12"/>
  <c r="AI82" i="11"/>
  <c r="BN6" i="3"/>
  <c r="BN6" i="4"/>
  <c r="BN6" i="6"/>
  <c r="BN6" i="9"/>
  <c r="BN6" i="7"/>
  <c r="BN7" i="11"/>
  <c r="BN10" i="11"/>
  <c r="BN22" i="11"/>
  <c r="BN25" i="11"/>
  <c r="BN16" i="11"/>
  <c r="BN19" i="11"/>
  <c r="BN31" i="11"/>
  <c r="BN46" i="11"/>
  <c r="BN34" i="11"/>
  <c r="BN40" i="11"/>
  <c r="BN43" i="11"/>
  <c r="BN55" i="11"/>
  <c r="BN79" i="11"/>
  <c r="BN49" i="11"/>
  <c r="BN58" i="11"/>
  <c r="BN82" i="11"/>
  <c r="BN13" i="12"/>
  <c r="BN52" i="11"/>
  <c r="BN73" i="11"/>
  <c r="BN64" i="11"/>
  <c r="BN76" i="11"/>
  <c r="BC6" i="3"/>
  <c r="BC6" i="4"/>
  <c r="BC6" i="5"/>
  <c r="BC6" i="6"/>
  <c r="BC6" i="9"/>
  <c r="BC6" i="7"/>
  <c r="BC6" i="8"/>
  <c r="BC10" i="11"/>
  <c r="BC11" i="11"/>
  <c r="AX2" i="15"/>
  <c r="BC13" i="11"/>
  <c r="BC23" i="11"/>
  <c r="AX8" i="15" s="1"/>
  <c r="BC25" i="11"/>
  <c r="BC16" i="11"/>
  <c r="BC19" i="11"/>
  <c r="BC22" i="11"/>
  <c r="BC29" i="11"/>
  <c r="AX11" i="15"/>
  <c r="BC31" i="11"/>
  <c r="BC17" i="11"/>
  <c r="AX5" i="15" s="1"/>
  <c r="BC34" i="11"/>
  <c r="BC7" i="11"/>
  <c r="BC47" i="11"/>
  <c r="AX20" i="15" s="1"/>
  <c r="BC49" i="11"/>
  <c r="BC40" i="11"/>
  <c r="BC28" i="11"/>
  <c r="BC37" i="11"/>
  <c r="BC41" i="11"/>
  <c r="AX17" i="15" s="1"/>
  <c r="BC43" i="11"/>
  <c r="BC35" i="11"/>
  <c r="AX14" i="15"/>
  <c r="BC58" i="11"/>
  <c r="BC70" i="11"/>
  <c r="BC46" i="11"/>
  <c r="BC59" i="11"/>
  <c r="AX26" i="15" s="1"/>
  <c r="BC61" i="11"/>
  <c r="BC71" i="11"/>
  <c r="AX32" i="15"/>
  <c r="BC73" i="11"/>
  <c r="BC83" i="11"/>
  <c r="AX38" i="15" s="1"/>
  <c r="BC52" i="11"/>
  <c r="BC64" i="11"/>
  <c r="BC76" i="11"/>
  <c r="BC53" i="11"/>
  <c r="AX23" i="15" s="1"/>
  <c r="BC55" i="11"/>
  <c r="BC65" i="11"/>
  <c r="AX29" i="15" s="1"/>
  <c r="BC67" i="11"/>
  <c r="BC77" i="11"/>
  <c r="AX35" i="15" s="1"/>
  <c r="BC79" i="11"/>
  <c r="BC13" i="12"/>
  <c r="BC82" i="11"/>
  <c r="CO6" i="3"/>
  <c r="CO6" i="4"/>
  <c r="CO6" i="5"/>
  <c r="CO6" i="6"/>
  <c r="CO6" i="7"/>
  <c r="CO6" i="8"/>
  <c r="CO6" i="9"/>
  <c r="CO7" i="11"/>
  <c r="CO17" i="11"/>
  <c r="CG5" i="15"/>
  <c r="DA17" i="11"/>
  <c r="CO19" i="11"/>
  <c r="CO10" i="11"/>
  <c r="CO22" i="11"/>
  <c r="DA23" i="11"/>
  <c r="CO35" i="11"/>
  <c r="CG14" i="15" s="1"/>
  <c r="DA35" i="11"/>
  <c r="CO37" i="11"/>
  <c r="CO11" i="11"/>
  <c r="CG2" i="15" s="1"/>
  <c r="CO13" i="11"/>
  <c r="CO23" i="11"/>
  <c r="CG8" i="15"/>
  <c r="CO25" i="11"/>
  <c r="CO28" i="11"/>
  <c r="CO34" i="11"/>
  <c r="CO41" i="11"/>
  <c r="CG17" i="15" s="1"/>
  <c r="DA41" i="11"/>
  <c r="CO43" i="11"/>
  <c r="DA11" i="11"/>
  <c r="DA29" i="11"/>
  <c r="CO16" i="11"/>
  <c r="CO29" i="11"/>
  <c r="CG11" i="15" s="1"/>
  <c r="CO31" i="11"/>
  <c r="CO40" i="11"/>
  <c r="CO46" i="11"/>
  <c r="DA47" i="11"/>
  <c r="CO64" i="11"/>
  <c r="CO76" i="11"/>
  <c r="CO47" i="11"/>
  <c r="CG20" i="15" s="1"/>
  <c r="CO49" i="11"/>
  <c r="CO53" i="11"/>
  <c r="CG23" i="15"/>
  <c r="DA53" i="11"/>
  <c r="CO55" i="11"/>
  <c r="CO65" i="11"/>
  <c r="CG29" i="15"/>
  <c r="DA65" i="11"/>
  <c r="CO67" i="11"/>
  <c r="CO77" i="11"/>
  <c r="CG35" i="15"/>
  <c r="DA77" i="11"/>
  <c r="CO79" i="11"/>
  <c r="CO52" i="11"/>
  <c r="CO58" i="11"/>
  <c r="CO70" i="11"/>
  <c r="CO59" i="11"/>
  <c r="CG26" i="15" s="1"/>
  <c r="DA59" i="11"/>
  <c r="CO61" i="11"/>
  <c r="CO71" i="11"/>
  <c r="CG32" i="15" s="1"/>
  <c r="DA71" i="11"/>
  <c r="CO73" i="11"/>
  <c r="CO83" i="11"/>
  <c r="CG38" i="15" s="1"/>
  <c r="DA83" i="11"/>
  <c r="CO13" i="12"/>
  <c r="CO82" i="11"/>
  <c r="AJ6" i="3"/>
  <c r="AJ6" i="4"/>
  <c r="AJ6" i="5"/>
  <c r="AJ6" i="7"/>
  <c r="AJ6" i="8"/>
  <c r="AJ6" i="9"/>
  <c r="AJ11" i="11"/>
  <c r="AG2" i="15" s="1"/>
  <c r="AJ13" i="11"/>
  <c r="AJ17" i="11"/>
  <c r="AG5" i="15"/>
  <c r="AJ19" i="11"/>
  <c r="AJ34" i="11"/>
  <c r="AJ22" i="11"/>
  <c r="AJ35" i="11"/>
  <c r="AG14" i="15" s="1"/>
  <c r="AJ29" i="11"/>
  <c r="AG11" i="15" s="1"/>
  <c r="AJ31" i="11"/>
  <c r="AJ52" i="11"/>
  <c r="AJ41" i="11"/>
  <c r="AG17" i="15" s="1"/>
  <c r="AJ43" i="11"/>
  <c r="AJ23" i="11"/>
  <c r="AG8" i="15" s="1"/>
  <c r="AJ28" i="11"/>
  <c r="AJ47" i="11"/>
  <c r="AG20" i="15" s="1"/>
  <c r="AJ49" i="11"/>
  <c r="AJ61" i="11"/>
  <c r="AJ71" i="11"/>
  <c r="AG32" i="15" s="1"/>
  <c r="AJ73" i="11"/>
  <c r="AJ76" i="11"/>
  <c r="AJ53" i="11"/>
  <c r="AG23" i="15" s="1"/>
  <c r="AJ65" i="11"/>
  <c r="AG29" i="15" s="1"/>
  <c r="AJ67" i="11"/>
  <c r="AJ77" i="11"/>
  <c r="AG35" i="15" s="1"/>
  <c r="AJ46" i="11"/>
  <c r="AJ58" i="11"/>
  <c r="AJ70" i="11"/>
  <c r="AJ13" i="12"/>
  <c r="AJ83" i="11"/>
  <c r="AG38" i="15" s="1"/>
  <c r="AZ9" i="8"/>
  <c r="AZ17" i="6"/>
  <c r="CS17" i="6"/>
  <c r="CS9" i="8"/>
  <c r="K17" i="6"/>
  <c r="K9" i="8"/>
  <c r="CD17" i="6"/>
  <c r="CD9" i="8"/>
  <c r="AD17" i="6"/>
  <c r="AD9" i="8"/>
  <c r="DK17" i="6"/>
  <c r="DK9" i="8"/>
  <c r="CE17" i="6"/>
  <c r="CE9" i="8"/>
  <c r="AU17" i="6"/>
  <c r="AU9" i="8"/>
  <c r="AE17" i="6"/>
  <c r="AE9" i="8"/>
  <c r="J17" i="6"/>
  <c r="J9" i="8"/>
  <c r="CE15" i="6"/>
  <c r="K15" i="6"/>
  <c r="K7" i="8"/>
  <c r="T15" i="6"/>
  <c r="CY15" i="6"/>
  <c r="CY7" i="8"/>
  <c r="EF7" i="8"/>
  <c r="BT7" i="8"/>
  <c r="BT15" i="6"/>
  <c r="EK15" i="6"/>
  <c r="DE15" i="6"/>
  <c r="DE7" i="8"/>
  <c r="CK15" i="6"/>
  <c r="BE15" i="6"/>
  <c r="BE7" i="8"/>
  <c r="U15" i="6"/>
  <c r="DZ15" i="6"/>
  <c r="DZ7" i="8"/>
  <c r="DF15" i="6"/>
  <c r="BZ15" i="6"/>
  <c r="BZ7" i="8"/>
  <c r="AP15" i="6"/>
  <c r="F15" i="6"/>
  <c r="F7" i="8"/>
  <c r="C6" i="3"/>
  <c r="C6" i="4"/>
  <c r="C6" i="5"/>
  <c r="C6" i="6"/>
  <c r="C6" i="9"/>
  <c r="C6" i="7"/>
  <c r="C6" i="8"/>
  <c r="C10" i="11"/>
  <c r="C7" i="11"/>
  <c r="C11" i="11"/>
  <c r="B2" i="15" s="1"/>
  <c r="C13" i="11"/>
  <c r="C23" i="11"/>
  <c r="B8" i="15"/>
  <c r="C25" i="11"/>
  <c r="C16" i="11"/>
  <c r="C17" i="11"/>
  <c r="B5" i="15"/>
  <c r="C29" i="11"/>
  <c r="B11" i="15" s="1"/>
  <c r="C31" i="11"/>
  <c r="C34" i="11"/>
  <c r="C22" i="11"/>
  <c r="C28" i="11"/>
  <c r="C37" i="11"/>
  <c r="C47" i="11"/>
  <c r="B20" i="15"/>
  <c r="C49" i="11"/>
  <c r="C19" i="11"/>
  <c r="C35" i="11"/>
  <c r="B14" i="15"/>
  <c r="C40" i="11"/>
  <c r="C41" i="11"/>
  <c r="B17" i="15" s="1"/>
  <c r="C43" i="11"/>
  <c r="C46" i="11"/>
  <c r="C58" i="11"/>
  <c r="C70" i="11"/>
  <c r="C52" i="11"/>
  <c r="C59" i="11"/>
  <c r="B26" i="15" s="1"/>
  <c r="C61" i="11"/>
  <c r="C71" i="11"/>
  <c r="B32" i="15" s="1"/>
  <c r="C73" i="11"/>
  <c r="C83" i="11"/>
  <c r="B38" i="15" s="1"/>
  <c r="C64" i="11"/>
  <c r="C76" i="11"/>
  <c r="C53" i="11"/>
  <c r="B23" i="15" s="1"/>
  <c r="C55" i="11"/>
  <c r="C65" i="11"/>
  <c r="B29" i="15" s="1"/>
  <c r="C67" i="11"/>
  <c r="C77" i="11"/>
  <c r="B35" i="15" s="1"/>
  <c r="C79" i="11"/>
  <c r="C13" i="12"/>
  <c r="C82" i="11"/>
  <c r="Z6" i="3"/>
  <c r="Z6" i="4"/>
  <c r="Z6" i="5"/>
  <c r="Z6" i="6"/>
  <c r="Z6" i="9"/>
  <c r="Z6" i="7"/>
  <c r="Z6" i="8"/>
  <c r="Z7" i="11"/>
  <c r="Z10" i="11"/>
  <c r="Z22" i="11"/>
  <c r="Z11" i="11"/>
  <c r="X2" i="15" s="1"/>
  <c r="Z13" i="11"/>
  <c r="Z23" i="11"/>
  <c r="X8" i="15" s="1"/>
  <c r="Z25" i="11"/>
  <c r="Z16" i="11"/>
  <c r="Z19" i="11"/>
  <c r="Z17" i="11"/>
  <c r="X5" i="15" s="1"/>
  <c r="Z28" i="11"/>
  <c r="Z29" i="11"/>
  <c r="X11" i="15" s="1"/>
  <c r="Z31" i="11"/>
  <c r="Z46" i="11"/>
  <c r="Z34" i="11"/>
  <c r="Z37" i="11"/>
  <c r="Z40" i="11"/>
  <c r="Z35" i="11"/>
  <c r="X14" i="15" s="1"/>
  <c r="Z41" i="11"/>
  <c r="X17" i="15" s="1"/>
  <c r="Z43" i="11"/>
  <c r="Z52" i="11"/>
  <c r="Z53" i="11"/>
  <c r="X23" i="15" s="1"/>
  <c r="Z55" i="11"/>
  <c r="Z65" i="11"/>
  <c r="X29" i="15" s="1"/>
  <c r="Z67" i="11"/>
  <c r="Z77" i="11"/>
  <c r="X35" i="15" s="1"/>
  <c r="Z79" i="11"/>
  <c r="Z58" i="11"/>
  <c r="Z70" i="11"/>
  <c r="Z82" i="11"/>
  <c r="Z13" i="12"/>
  <c r="Z59" i="11"/>
  <c r="X26" i="15" s="1"/>
  <c r="Z61" i="11"/>
  <c r="Z71" i="11"/>
  <c r="X32" i="15" s="1"/>
  <c r="Z73" i="11"/>
  <c r="Z47" i="11"/>
  <c r="X20" i="15" s="1"/>
  <c r="Z49" i="11"/>
  <c r="Z64" i="11"/>
  <c r="Z76" i="11"/>
  <c r="Z83" i="11"/>
  <c r="X38" i="15" s="1"/>
  <c r="AT6" i="3"/>
  <c r="AT6" i="4"/>
  <c r="AT6" i="5"/>
  <c r="AT6" i="6"/>
  <c r="AT6" i="9"/>
  <c r="AT6" i="7"/>
  <c r="AT6" i="8"/>
  <c r="AT7" i="11"/>
  <c r="AT10" i="11"/>
  <c r="AT22" i="11"/>
  <c r="AT11" i="11"/>
  <c r="AP2" i="15" s="1"/>
  <c r="AT13" i="11"/>
  <c r="AT23" i="11"/>
  <c r="AP8" i="15" s="1"/>
  <c r="AT25" i="11"/>
  <c r="AT28" i="11"/>
  <c r="AT16" i="11"/>
  <c r="AT19" i="11"/>
  <c r="AT29" i="11"/>
  <c r="AP11" i="15" s="1"/>
  <c r="AT31" i="11"/>
  <c r="AT35" i="11"/>
  <c r="AP14" i="15" s="1"/>
  <c r="AT46" i="11"/>
  <c r="AT40" i="11"/>
  <c r="AT17" i="11"/>
  <c r="AP5" i="15" s="1"/>
  <c r="AT34" i="11"/>
  <c r="AT37" i="11"/>
  <c r="AT41" i="11"/>
  <c r="AP17" i="15" s="1"/>
  <c r="AT43" i="11"/>
  <c r="AT47" i="11"/>
  <c r="AP20" i="15"/>
  <c r="AT49" i="11"/>
  <c r="AT53" i="11"/>
  <c r="AP23" i="15" s="1"/>
  <c r="AT55" i="11"/>
  <c r="AT65" i="11"/>
  <c r="AP29" i="15" s="1"/>
  <c r="AT67" i="11"/>
  <c r="AT77" i="11"/>
  <c r="AP35" i="15" s="1"/>
  <c r="AT79" i="11"/>
  <c r="AT52" i="11"/>
  <c r="AT58" i="11"/>
  <c r="AT70" i="11"/>
  <c r="AT82" i="11"/>
  <c r="AT13" i="12"/>
  <c r="AT59" i="11"/>
  <c r="AP26" i="15" s="1"/>
  <c r="AT61" i="11"/>
  <c r="AT71" i="11"/>
  <c r="AP32" i="15" s="1"/>
  <c r="AT73" i="11"/>
  <c r="AT64" i="11"/>
  <c r="AT76" i="11"/>
  <c r="AT83" i="11"/>
  <c r="AP38" i="15" s="1"/>
  <c r="BE6" i="4"/>
  <c r="BE6" i="5"/>
  <c r="BE6" i="8"/>
  <c r="BE7" i="11"/>
  <c r="BE19" i="11"/>
  <c r="BE23" i="11"/>
  <c r="AZ8" i="15"/>
  <c r="BE35" i="11"/>
  <c r="AZ14" i="15" s="1"/>
  <c r="BE11" i="11"/>
  <c r="AZ2" i="15" s="1"/>
  <c r="BE43" i="11"/>
  <c r="BE29" i="11"/>
  <c r="AZ11" i="15" s="1"/>
  <c r="BE13" i="11"/>
  <c r="BE34" i="11"/>
  <c r="BE49" i="11"/>
  <c r="BE52" i="11"/>
  <c r="BE53" i="11"/>
  <c r="AZ23" i="15" s="1"/>
  <c r="BE65" i="11"/>
  <c r="AZ29" i="15" s="1"/>
  <c r="BE79" i="11"/>
  <c r="BE46" i="11"/>
  <c r="BE59" i="11"/>
  <c r="AZ26" i="15" s="1"/>
  <c r="BE71" i="11"/>
  <c r="AZ32" i="15" s="1"/>
  <c r="BE82" i="11"/>
  <c r="DH6" i="3"/>
  <c r="DH6" i="4"/>
  <c r="DH6" i="5"/>
  <c r="DH6" i="6"/>
  <c r="DH6" i="7"/>
  <c r="DH6" i="8"/>
  <c r="DH6" i="9"/>
  <c r="DH11" i="11"/>
  <c r="CY2" i="15" s="1"/>
  <c r="DH13" i="11"/>
  <c r="DH16" i="11"/>
  <c r="DH7" i="11"/>
  <c r="DH17" i="11"/>
  <c r="CY5" i="15" s="1"/>
  <c r="DH19" i="11"/>
  <c r="DH22" i="11"/>
  <c r="DH10" i="11"/>
  <c r="DH23" i="11"/>
  <c r="CY8" i="15" s="1"/>
  <c r="DH25" i="11"/>
  <c r="DH34" i="11"/>
  <c r="DH35" i="11"/>
  <c r="CY14" i="15" s="1"/>
  <c r="DH37" i="11"/>
  <c r="DH40" i="11"/>
  <c r="DH28" i="11"/>
  <c r="DH41" i="11"/>
  <c r="CY17" i="15" s="1"/>
  <c r="DH43" i="11"/>
  <c r="DH29" i="11"/>
  <c r="CY11" i="15" s="1"/>
  <c r="DH31" i="11"/>
  <c r="DH59" i="11"/>
  <c r="CY26" i="15" s="1"/>
  <c r="DH61" i="11"/>
  <c r="DH71" i="11"/>
  <c r="CY32" i="15" s="1"/>
  <c r="DH73" i="11"/>
  <c r="DH52" i="11"/>
  <c r="DH64" i="11"/>
  <c r="DH76" i="11"/>
  <c r="DH46" i="11"/>
  <c r="DH53" i="11"/>
  <c r="CY23" i="15" s="1"/>
  <c r="DH55" i="11"/>
  <c r="DH65" i="11"/>
  <c r="CY29" i="15" s="1"/>
  <c r="DH67" i="11"/>
  <c r="DH77" i="11"/>
  <c r="CY35" i="15"/>
  <c r="DH79" i="11"/>
  <c r="DH47" i="11"/>
  <c r="CY20" i="15" s="1"/>
  <c r="DH49" i="11"/>
  <c r="DH58" i="11"/>
  <c r="DH70" i="11"/>
  <c r="DH82" i="11"/>
  <c r="DH13" i="12"/>
  <c r="DH83" i="11"/>
  <c r="CY38" i="15" s="1"/>
  <c r="EM6" i="3"/>
  <c r="EM6" i="4"/>
  <c r="EM6" i="5"/>
  <c r="EM6" i="6"/>
  <c r="EM6" i="9"/>
  <c r="EM6" i="7"/>
  <c r="EM6" i="8"/>
  <c r="EM10" i="11"/>
  <c r="EM11" i="11"/>
  <c r="EB2" i="15"/>
  <c r="EM13" i="11"/>
  <c r="EM23" i="11"/>
  <c r="EB8" i="15" s="1"/>
  <c r="EM25" i="11"/>
  <c r="EM16" i="11"/>
  <c r="EM19" i="11"/>
  <c r="EM22" i="11"/>
  <c r="EM29" i="11"/>
  <c r="EB11" i="15" s="1"/>
  <c r="EM31" i="11"/>
  <c r="EM7" i="11"/>
  <c r="EM17" i="11"/>
  <c r="EB5" i="15" s="1"/>
  <c r="EM34" i="11"/>
  <c r="EM47" i="11"/>
  <c r="EB20" i="15" s="1"/>
  <c r="EM49" i="11"/>
  <c r="EM40" i="11"/>
  <c r="EM28" i="11"/>
  <c r="EM37" i="11"/>
  <c r="EM41" i="11"/>
  <c r="EB17" i="15" s="1"/>
  <c r="EM35" i="11"/>
  <c r="EB14" i="15" s="1"/>
  <c r="EM43" i="11"/>
  <c r="EM58" i="11"/>
  <c r="EM70" i="11"/>
  <c r="EM59" i="11"/>
  <c r="EB26" i="15" s="1"/>
  <c r="EM61" i="11"/>
  <c r="EM71" i="11"/>
  <c r="EB32" i="15" s="1"/>
  <c r="EM73" i="11"/>
  <c r="EM83" i="11"/>
  <c r="EB38" i="15" s="1"/>
  <c r="EM52" i="11"/>
  <c r="EM64" i="11"/>
  <c r="EM76" i="11"/>
  <c r="EM46" i="11"/>
  <c r="EM53" i="11"/>
  <c r="EB23" i="15" s="1"/>
  <c r="EM55" i="11"/>
  <c r="EM65" i="11"/>
  <c r="EB29" i="15" s="1"/>
  <c r="EM67" i="11"/>
  <c r="EM77" i="11"/>
  <c r="EB35" i="15" s="1"/>
  <c r="EM79" i="11"/>
  <c r="EM13" i="12"/>
  <c r="EM82" i="11"/>
  <c r="K6" i="3"/>
  <c r="K6" i="4"/>
  <c r="K6" i="5"/>
  <c r="K6" i="6"/>
  <c r="K6" i="9"/>
  <c r="K6" i="7"/>
  <c r="K6" i="8"/>
  <c r="K10" i="11"/>
  <c r="K7" i="11"/>
  <c r="K11" i="11"/>
  <c r="J2" i="15" s="1"/>
  <c r="K13" i="11"/>
  <c r="K23" i="11"/>
  <c r="J8" i="15" s="1"/>
  <c r="K25" i="11"/>
  <c r="K16" i="11"/>
  <c r="K17" i="11"/>
  <c r="J5" i="15" s="1"/>
  <c r="K29" i="11"/>
  <c r="J11" i="15" s="1"/>
  <c r="K31" i="11"/>
  <c r="K34" i="11"/>
  <c r="K19" i="11"/>
  <c r="K28" i="11"/>
  <c r="K37" i="11"/>
  <c r="K40" i="11"/>
  <c r="K47" i="11"/>
  <c r="J20" i="15" s="1"/>
  <c r="K49" i="11"/>
  <c r="K35" i="11"/>
  <c r="J14" i="15" s="1"/>
  <c r="K41" i="11"/>
  <c r="J17" i="15" s="1"/>
  <c r="K43" i="11"/>
  <c r="K22" i="11"/>
  <c r="K58" i="11"/>
  <c r="K70" i="11"/>
  <c r="K59" i="11"/>
  <c r="J26" i="15" s="1"/>
  <c r="K61" i="11"/>
  <c r="K71" i="11"/>
  <c r="J32" i="15" s="1"/>
  <c r="K73" i="11"/>
  <c r="K83" i="11"/>
  <c r="J38" i="15" s="1"/>
  <c r="K46" i="11"/>
  <c r="K64" i="11"/>
  <c r="K76" i="11"/>
  <c r="K52" i="11"/>
  <c r="K53" i="11"/>
  <c r="J23" i="15" s="1"/>
  <c r="K55" i="11"/>
  <c r="K65" i="11"/>
  <c r="J29" i="15" s="1"/>
  <c r="K67" i="11"/>
  <c r="K77" i="11"/>
  <c r="J35" i="15" s="1"/>
  <c r="K79" i="11"/>
  <c r="K13" i="12"/>
  <c r="K82" i="11"/>
  <c r="AB6" i="3"/>
  <c r="AB6" i="4"/>
  <c r="AB6" i="5"/>
  <c r="AB6" i="6"/>
  <c r="AB6" i="7"/>
  <c r="AB6" i="8"/>
  <c r="AB6" i="9"/>
  <c r="AB7" i="11"/>
  <c r="AB11" i="11"/>
  <c r="Y2" i="15" s="1"/>
  <c r="AN11" i="11"/>
  <c r="AB13" i="11"/>
  <c r="AB16" i="11"/>
  <c r="AB17" i="11"/>
  <c r="Y5" i="15" s="1"/>
  <c r="AN17" i="11"/>
  <c r="AB19" i="11"/>
  <c r="AN23" i="11"/>
  <c r="AB34" i="11"/>
  <c r="AB10" i="11"/>
  <c r="AB22" i="11"/>
  <c r="AB35" i="11"/>
  <c r="Y14" i="15" s="1"/>
  <c r="AN35" i="11"/>
  <c r="AB37" i="11"/>
  <c r="AB25" i="11"/>
  <c r="AB29" i="11"/>
  <c r="Y11" i="15" s="1"/>
  <c r="AB31" i="11"/>
  <c r="AB52" i="11"/>
  <c r="AB41" i="11"/>
  <c r="Y17" i="15" s="1"/>
  <c r="AN41" i="11"/>
  <c r="AB43" i="11"/>
  <c r="AN29" i="11"/>
  <c r="AB23" i="11"/>
  <c r="Y8" i="15" s="1"/>
  <c r="AB28" i="11"/>
  <c r="AB40" i="11"/>
  <c r="AB59" i="11"/>
  <c r="Y26" i="15" s="1"/>
  <c r="AN59" i="11"/>
  <c r="AB61" i="11"/>
  <c r="AB71" i="11"/>
  <c r="Y32" i="15" s="1"/>
  <c r="AN71" i="11"/>
  <c r="AB73" i="11"/>
  <c r="AB46" i="11"/>
  <c r="AN47" i="11"/>
  <c r="AB64" i="11"/>
  <c r="AB76" i="11"/>
  <c r="AB47" i="11"/>
  <c r="Y20" i="15" s="1"/>
  <c r="AB49" i="11"/>
  <c r="AB53" i="11"/>
  <c r="Y23" i="15" s="1"/>
  <c r="AN53" i="11"/>
  <c r="AB55" i="11"/>
  <c r="AB65" i="11"/>
  <c r="Y29" i="15" s="1"/>
  <c r="AN65" i="11"/>
  <c r="AB67" i="11"/>
  <c r="AB77" i="11"/>
  <c r="Y35" i="15" s="1"/>
  <c r="AN77" i="11"/>
  <c r="AB79" i="11"/>
  <c r="AB58" i="11"/>
  <c r="AB70" i="11"/>
  <c r="AB82" i="11"/>
  <c r="AB13" i="12"/>
  <c r="AN83" i="11"/>
  <c r="AB83" i="11"/>
  <c r="Y38" i="15" s="1"/>
  <c r="AU6" i="3"/>
  <c r="AU6" i="4"/>
  <c r="AU6" i="5"/>
  <c r="AU6" i="6"/>
  <c r="AU6" i="9"/>
  <c r="AU6" i="7"/>
  <c r="AU6" i="8"/>
  <c r="AU10" i="11"/>
  <c r="AU11" i="11"/>
  <c r="AQ2" i="15"/>
  <c r="AU13" i="11"/>
  <c r="AU23" i="11"/>
  <c r="AQ8" i="15" s="1"/>
  <c r="AU25" i="11"/>
  <c r="AU16" i="11"/>
  <c r="AU7" i="11"/>
  <c r="AU19" i="11"/>
  <c r="AU22" i="11"/>
  <c r="AU29" i="11"/>
  <c r="AQ11" i="15" s="1"/>
  <c r="AU31" i="11"/>
  <c r="AU17" i="11"/>
  <c r="AQ5" i="15" s="1"/>
  <c r="AU34" i="11"/>
  <c r="AU47" i="11"/>
  <c r="AQ20" i="15" s="1"/>
  <c r="AU49" i="11"/>
  <c r="AU40" i="11"/>
  <c r="AU28" i="11"/>
  <c r="AU37" i="11"/>
  <c r="AU41" i="11"/>
  <c r="AQ17" i="15" s="1"/>
  <c r="AU43" i="11"/>
  <c r="AU35" i="11"/>
  <c r="AQ14" i="15" s="1"/>
  <c r="AU52" i="11"/>
  <c r="AU58" i="11"/>
  <c r="AU70" i="11"/>
  <c r="AU59" i="11"/>
  <c r="AQ26" i="15" s="1"/>
  <c r="AU61" i="11"/>
  <c r="AU71" i="11"/>
  <c r="AQ32" i="15" s="1"/>
  <c r="AU73" i="11"/>
  <c r="AU83" i="11"/>
  <c r="AQ38" i="15" s="1"/>
  <c r="AU64" i="11"/>
  <c r="AU76" i="11"/>
  <c r="AU46" i="11"/>
  <c r="AU53" i="11"/>
  <c r="AQ23" i="15" s="1"/>
  <c r="AU55" i="11"/>
  <c r="AU65" i="11"/>
  <c r="AQ29" i="15" s="1"/>
  <c r="AU67" i="11"/>
  <c r="AU77" i="11"/>
  <c r="AQ35" i="15" s="1"/>
  <c r="AU79" i="11"/>
  <c r="AU13" i="12"/>
  <c r="AU82" i="11"/>
  <c r="AE6" i="3"/>
  <c r="AE6" i="4"/>
  <c r="AE6" i="5"/>
  <c r="AE6" i="6"/>
  <c r="AE6" i="9"/>
  <c r="AE6" i="7"/>
  <c r="AE6" i="8"/>
  <c r="AE10" i="11"/>
  <c r="AE11" i="11"/>
  <c r="AB2" i="15" s="1"/>
  <c r="AE13" i="11"/>
  <c r="AE23" i="11"/>
  <c r="AB8" i="15"/>
  <c r="AE25" i="11"/>
  <c r="AE16" i="11"/>
  <c r="AE19" i="11"/>
  <c r="AE22" i="11"/>
  <c r="AE29" i="11"/>
  <c r="AB11" i="15" s="1"/>
  <c r="AE31" i="11"/>
  <c r="AE7" i="11"/>
  <c r="AE17" i="11"/>
  <c r="AB5" i="15" s="1"/>
  <c r="AE34" i="11"/>
  <c r="AE47" i="11"/>
  <c r="AB20" i="15" s="1"/>
  <c r="AE49" i="11"/>
  <c r="AE40" i="11"/>
  <c r="AE28" i="11"/>
  <c r="AE37" i="11"/>
  <c r="AE41" i="11"/>
  <c r="AB17" i="15" s="1"/>
  <c r="AE43" i="11"/>
  <c r="AE35" i="11"/>
  <c r="AB14" i="15" s="1"/>
  <c r="AE52" i="11"/>
  <c r="AE58" i="11"/>
  <c r="AE70" i="11"/>
  <c r="AE59" i="11"/>
  <c r="AB26" i="15" s="1"/>
  <c r="AE61" i="11"/>
  <c r="AE71" i="11"/>
  <c r="AB32" i="15" s="1"/>
  <c r="AE73" i="11"/>
  <c r="AE83" i="11"/>
  <c r="AB38" i="15" s="1"/>
  <c r="AE64" i="11"/>
  <c r="AE76" i="11"/>
  <c r="AE46" i="11"/>
  <c r="AE53" i="11"/>
  <c r="AB23" i="15" s="1"/>
  <c r="AE55" i="11"/>
  <c r="AE65" i="11"/>
  <c r="AB29" i="15" s="1"/>
  <c r="AE67" i="11"/>
  <c r="AE77" i="11"/>
  <c r="AB35" i="15"/>
  <c r="AE79" i="11"/>
  <c r="AE13" i="12"/>
  <c r="AE82" i="11"/>
  <c r="AZ6" i="3"/>
  <c r="AZ6" i="4"/>
  <c r="AZ6" i="5"/>
  <c r="AZ6" i="6"/>
  <c r="AZ6" i="7"/>
  <c r="AZ6" i="8"/>
  <c r="AZ6" i="9"/>
  <c r="AZ7" i="11"/>
  <c r="AZ11" i="11"/>
  <c r="AV2" i="15" s="1"/>
  <c r="AZ13" i="11"/>
  <c r="AZ16" i="11"/>
  <c r="AZ17" i="11"/>
  <c r="AV5" i="15" s="1"/>
  <c r="AZ19" i="11"/>
  <c r="AZ10" i="11"/>
  <c r="AZ34" i="11"/>
  <c r="AZ22" i="11"/>
  <c r="AZ35" i="11"/>
  <c r="AV14" i="15" s="1"/>
  <c r="AZ37" i="11"/>
  <c r="AZ23" i="11"/>
  <c r="AV8" i="15" s="1"/>
  <c r="AZ29" i="11"/>
  <c r="AV11" i="15"/>
  <c r="AZ31" i="11"/>
  <c r="AZ40" i="11"/>
  <c r="AZ52" i="11"/>
  <c r="AZ25" i="11"/>
  <c r="AZ41" i="11"/>
  <c r="AV17" i="15" s="1"/>
  <c r="AZ43" i="11"/>
  <c r="AZ28" i="11"/>
  <c r="AZ47" i="11"/>
  <c r="AV20" i="15" s="1"/>
  <c r="AZ49" i="11"/>
  <c r="AZ59" i="11"/>
  <c r="AV26" i="15" s="1"/>
  <c r="AZ61" i="11"/>
  <c r="AZ71" i="11"/>
  <c r="AV32" i="15" s="1"/>
  <c r="AZ73" i="11"/>
  <c r="AZ64" i="11"/>
  <c r="AZ76" i="11"/>
  <c r="AZ53" i="11"/>
  <c r="AV23" i="15" s="1"/>
  <c r="AZ55" i="11"/>
  <c r="AZ65" i="11"/>
  <c r="AV29" i="15" s="1"/>
  <c r="AZ67" i="11"/>
  <c r="AZ77" i="11"/>
  <c r="AV35" i="15" s="1"/>
  <c r="AZ79" i="11"/>
  <c r="AZ46" i="11"/>
  <c r="AZ58" i="11"/>
  <c r="AZ70" i="11"/>
  <c r="AZ82" i="11"/>
  <c r="AZ13" i="12"/>
  <c r="AZ83" i="11"/>
  <c r="AV38" i="15" s="1"/>
  <c r="DP17" i="6"/>
  <c r="DP9" i="8"/>
  <c r="AF17" i="6"/>
  <c r="AF9" i="8"/>
  <c r="EC17" i="6"/>
  <c r="EC9" i="8"/>
  <c r="BM17" i="6"/>
  <c r="BM9" i="8"/>
  <c r="DJ17" i="6"/>
  <c r="DJ9" i="8"/>
  <c r="L9" i="8"/>
  <c r="L17" i="6"/>
  <c r="BK17" i="6"/>
  <c r="BK9" i="8"/>
  <c r="B9" i="5"/>
  <c r="A28" i="15"/>
  <c r="DK15" i="6"/>
  <c r="DK7" i="8"/>
  <c r="AY15" i="6"/>
  <c r="AY7" i="8"/>
  <c r="DT15" i="6"/>
  <c r="DT7" i="8"/>
  <c r="CF15" i="6"/>
  <c r="CF7" i="8"/>
  <c r="AZ15" i="6"/>
  <c r="AZ7" i="8"/>
  <c r="EE15" i="6"/>
  <c r="EE7" i="8"/>
  <c r="BK15" i="6"/>
  <c r="BK7" i="8"/>
  <c r="AE15" i="6"/>
  <c r="AE7" i="8"/>
  <c r="CZ7" i="8"/>
  <c r="CZ15" i="6"/>
  <c r="AF7" i="8"/>
  <c r="AF15" i="6"/>
  <c r="DU15" i="6"/>
  <c r="DU7" i="8"/>
  <c r="BU15" i="6"/>
  <c r="BU7" i="8"/>
  <c r="AK15" i="6"/>
  <c r="AK7" i="8"/>
  <c r="E15" i="6"/>
  <c r="E7" i="8"/>
  <c r="CP15" i="6"/>
  <c r="CP7" i="8"/>
  <c r="BF15" i="6"/>
  <c r="BF7" i="8"/>
  <c r="Z15" i="6"/>
  <c r="Z7" i="8"/>
  <c r="H9" i="3"/>
  <c r="H7" i="9" s="1"/>
  <c r="L9" i="3"/>
  <c r="L7" i="9" s="1"/>
  <c r="X9" i="3"/>
  <c r="X7" i="9" s="1"/>
  <c r="AB9" i="3"/>
  <c r="AB7" i="9" s="1"/>
  <c r="AR9" i="3"/>
  <c r="AR7" i="9" s="1"/>
  <c r="AV9" i="3"/>
  <c r="AV7" i="9" s="1"/>
  <c r="BH9" i="3"/>
  <c r="BH7" i="9" s="1"/>
  <c r="BL9" i="3"/>
  <c r="BL7" i="9" s="1"/>
  <c r="BX9" i="3"/>
  <c r="BX7" i="9" s="1"/>
  <c r="CB9" i="3"/>
  <c r="CR9" i="3"/>
  <c r="CR7" i="9" s="1"/>
  <c r="CV9" i="3"/>
  <c r="CV7" i="9" s="1"/>
  <c r="DH9" i="3"/>
  <c r="DH7" i="9" s="1"/>
  <c r="DL9" i="3"/>
  <c r="DL7" i="9" s="1"/>
  <c r="DX9" i="3"/>
  <c r="DX7" i="9" s="1"/>
  <c r="EB9" i="3"/>
  <c r="EB7" i="9" s="1"/>
  <c r="C9" i="3"/>
  <c r="C7" i="9" s="1"/>
  <c r="G9" i="3"/>
  <c r="G7" i="9" s="1"/>
  <c r="S9" i="3"/>
  <c r="S7" i="9" s="1"/>
  <c r="AI9" i="3"/>
  <c r="AI7" i="9" s="1"/>
  <c r="AQ9" i="3"/>
  <c r="AQ7" i="9" s="1"/>
  <c r="AU9" i="3"/>
  <c r="AU7" i="9" s="1"/>
  <c r="BC9" i="3"/>
  <c r="BC7" i="9" s="1"/>
  <c r="BO9" i="3"/>
  <c r="BO7" i="9" s="1"/>
  <c r="BS9" i="3"/>
  <c r="BS7" i="9" s="1"/>
  <c r="CI9" i="3"/>
  <c r="CI7" i="9" s="1"/>
  <c r="CM9" i="3"/>
  <c r="CM7" i="9" s="1"/>
  <c r="CY9" i="3"/>
  <c r="CY7" i="9" s="1"/>
  <c r="DC9" i="3"/>
  <c r="DC7" i="9" s="1"/>
  <c r="DO9" i="3"/>
  <c r="DO7" i="9" s="1"/>
  <c r="DS9" i="3"/>
  <c r="EI9" i="3"/>
  <c r="EI7" i="9" s="1"/>
  <c r="EM9" i="3"/>
  <c r="EM7" i="9" s="1"/>
  <c r="J9" i="3"/>
  <c r="J7" i="9" s="1"/>
  <c r="Z9" i="3"/>
  <c r="Z7" i="9" s="1"/>
  <c r="AD9" i="3"/>
  <c r="AD7" i="9" s="1"/>
  <c r="AP9" i="3"/>
  <c r="AP7" i="9" s="1"/>
  <c r="AT9" i="3"/>
  <c r="AT7" i="9" s="1"/>
  <c r="BF9" i="3"/>
  <c r="BF7" i="9" s="1"/>
  <c r="BV9" i="3"/>
  <c r="BV7" i="9" s="1"/>
  <c r="BZ9" i="3"/>
  <c r="BZ7" i="9" s="1"/>
  <c r="CL9" i="3"/>
  <c r="CL7" i="9" s="1"/>
  <c r="CP9" i="3"/>
  <c r="CP7" i="9" s="1"/>
  <c r="DB9" i="3"/>
  <c r="DB7" i="9" s="1"/>
  <c r="DF9" i="3"/>
  <c r="DF7" i="9" s="1"/>
  <c r="DR9" i="3"/>
  <c r="DR7" i="9" s="1"/>
  <c r="DV9" i="3"/>
  <c r="DV7" i="9" s="1"/>
  <c r="ED9" i="3"/>
  <c r="ED7" i="9" s="1"/>
  <c r="E9" i="3"/>
  <c r="E7" i="9" s="1"/>
  <c r="M9" i="3"/>
  <c r="M7" i="9" s="1"/>
  <c r="Q9" i="3"/>
  <c r="Q7" i="9" s="1"/>
  <c r="Y9" i="3"/>
  <c r="Y7" i="9" s="1"/>
  <c r="AC9" i="3"/>
  <c r="AC7" i="9" s="1"/>
  <c r="AO9" i="3"/>
  <c r="AO7" i="9" s="1"/>
  <c r="AS9" i="3"/>
  <c r="AS7" i="9" s="1"/>
  <c r="BE9" i="3"/>
  <c r="BE7" i="9" s="1"/>
  <c r="BI9" i="3"/>
  <c r="BI7" i="9" s="1"/>
  <c r="BQ9" i="3"/>
  <c r="BQ7" i="9" s="1"/>
  <c r="BU9" i="3"/>
  <c r="BU7" i="9" s="1"/>
  <c r="CG9" i="3"/>
  <c r="CK9" i="3"/>
  <c r="CK7" i="9" s="1"/>
  <c r="CW9" i="3"/>
  <c r="CW7" i="9" s="1"/>
  <c r="DE9" i="3"/>
  <c r="DE7" i="9" s="1"/>
  <c r="DQ9" i="3"/>
  <c r="DQ7" i="9" s="1"/>
  <c r="EC9" i="3"/>
  <c r="EC7" i="9" s="1"/>
  <c r="E11" i="7"/>
  <c r="E9" i="9" s="1"/>
  <c r="Q11" i="7"/>
  <c r="Q9" i="9" s="1"/>
  <c r="U11" i="7"/>
  <c r="U9" i="9" s="1"/>
  <c r="AG11" i="7"/>
  <c r="AG9" i="9" s="1"/>
  <c r="AK11" i="7"/>
  <c r="AK9" i="9" s="1"/>
  <c r="AW11" i="7"/>
  <c r="AW9" i="9" s="1"/>
  <c r="BE11" i="7"/>
  <c r="BE9" i="9" s="1"/>
  <c r="BQ11" i="7"/>
  <c r="BQ9" i="9" s="1"/>
  <c r="BU11" i="7"/>
  <c r="BU9" i="9" s="1"/>
  <c r="CG11" i="7"/>
  <c r="CG9" i="9" s="1"/>
  <c r="CK11" i="7"/>
  <c r="CK9" i="9" s="1"/>
  <c r="CW11" i="7"/>
  <c r="CW9" i="9" s="1"/>
  <c r="DE11" i="7"/>
  <c r="DE9" i="9" s="1"/>
  <c r="DQ11" i="7"/>
  <c r="DQ9" i="9" s="1"/>
  <c r="DU11" i="7"/>
  <c r="DU9" i="9" s="1"/>
  <c r="EG11" i="7"/>
  <c r="EG9" i="9" s="1"/>
  <c r="EK11" i="7"/>
  <c r="EK9" i="9" s="1"/>
  <c r="L11" i="7"/>
  <c r="L9" i="9" s="1"/>
  <c r="P11" i="7"/>
  <c r="P9" i="9" s="1"/>
  <c r="AB11" i="7"/>
  <c r="AB9" i="9" s="1"/>
  <c r="AF11" i="7"/>
  <c r="AF9" i="9" s="1"/>
  <c r="AV11" i="7"/>
  <c r="AV9" i="9" s="1"/>
  <c r="AZ11" i="7"/>
  <c r="AZ9" i="9" s="1"/>
  <c r="BL11" i="7"/>
  <c r="BL9" i="9" s="1"/>
  <c r="BP11" i="7"/>
  <c r="BP9" i="9" s="1"/>
  <c r="CB11" i="7"/>
  <c r="CB9" i="9" s="1"/>
  <c r="CF11" i="7"/>
  <c r="CF9" i="9" s="1"/>
  <c r="CV11" i="7"/>
  <c r="CV9" i="9" s="1"/>
  <c r="CZ11" i="7"/>
  <c r="CZ9" i="9" s="1"/>
  <c r="DL11" i="7"/>
  <c r="DL9" i="9" s="1"/>
  <c r="DP11" i="7"/>
  <c r="DP9" i="9" s="1"/>
  <c r="EB11" i="7"/>
  <c r="EB9" i="9" s="1"/>
  <c r="EF11" i="7"/>
  <c r="EF9" i="9" s="1"/>
  <c r="G11" i="7"/>
  <c r="G9" i="9" s="1"/>
  <c r="K11" i="7"/>
  <c r="K9" i="9" s="1"/>
  <c r="W11" i="7"/>
  <c r="W9" i="9" s="1"/>
  <c r="AE11" i="7"/>
  <c r="AE9" i="9" s="1"/>
  <c r="AQ11" i="7"/>
  <c r="AQ9" i="9" s="1"/>
  <c r="AU11" i="7"/>
  <c r="AU9" i="9" s="1"/>
  <c r="BG11" i="7"/>
  <c r="BG9" i="9" s="1"/>
  <c r="BK11" i="7"/>
  <c r="BK9" i="9" s="1"/>
  <c r="BW11" i="7"/>
  <c r="BW9" i="9" s="1"/>
  <c r="CE11" i="7"/>
  <c r="CQ11" i="7"/>
  <c r="CQ9" i="9" s="1"/>
  <c r="CU11" i="7"/>
  <c r="CU9" i="9" s="1"/>
  <c r="DG11" i="7"/>
  <c r="DG9" i="9" s="1"/>
  <c r="DK11" i="7"/>
  <c r="DK9" i="9" s="1"/>
  <c r="DW11" i="7"/>
  <c r="DW9" i="9" s="1"/>
  <c r="EE11" i="7"/>
  <c r="EE9" i="9" s="1"/>
  <c r="B11" i="7"/>
  <c r="B9" i="9" s="1"/>
  <c r="F11" i="7"/>
  <c r="F9" i="9" s="1"/>
  <c r="V11" i="7"/>
  <c r="V9" i="9" s="1"/>
  <c r="Z11" i="7"/>
  <c r="Z9" i="9" s="1"/>
  <c r="AL11" i="7"/>
  <c r="AL9" i="9" s="1"/>
  <c r="AP11" i="7"/>
  <c r="AP9" i="9" s="1"/>
  <c r="BB11" i="7"/>
  <c r="BB9" i="9" s="1"/>
  <c r="BF11" i="7"/>
  <c r="BF9" i="9" s="1"/>
  <c r="BV11" i="7"/>
  <c r="BV9" i="9" s="1"/>
  <c r="CD11" i="7"/>
  <c r="CD9" i="9" s="1"/>
  <c r="CH11" i="7"/>
  <c r="CH9" i="9" s="1"/>
  <c r="CP11" i="7"/>
  <c r="CP9" i="9" s="1"/>
  <c r="CT11" i="7"/>
  <c r="CT9" i="9" s="1"/>
  <c r="DF11" i="7"/>
  <c r="DF9" i="9" s="1"/>
  <c r="DJ11" i="7"/>
  <c r="DJ9" i="9" s="1"/>
  <c r="DZ11" i="7"/>
  <c r="DZ9" i="9" s="1"/>
  <c r="EL11" i="7"/>
  <c r="EL9" i="9" s="1"/>
  <c r="N6" i="3"/>
  <c r="N6" i="4"/>
  <c r="N6" i="5"/>
  <c r="N6" i="6"/>
  <c r="N6" i="9"/>
  <c r="N6" i="7"/>
  <c r="N6" i="8"/>
  <c r="N7" i="11"/>
  <c r="N10" i="11"/>
  <c r="N22" i="11"/>
  <c r="N13" i="11"/>
  <c r="N25" i="11"/>
  <c r="N28" i="11"/>
  <c r="N16" i="11"/>
  <c r="N19" i="11"/>
  <c r="N31" i="11"/>
  <c r="N46" i="11"/>
  <c r="N40" i="11"/>
  <c r="N34" i="11"/>
  <c r="N37" i="11"/>
  <c r="N43" i="11"/>
  <c r="N49" i="11"/>
  <c r="N55" i="11"/>
  <c r="N67" i="11"/>
  <c r="N79" i="11"/>
  <c r="N52" i="11"/>
  <c r="N58" i="11"/>
  <c r="N70" i="11"/>
  <c r="N82" i="11"/>
  <c r="N13" i="12"/>
  <c r="N61" i="11"/>
  <c r="N73" i="11"/>
  <c r="N64" i="11"/>
  <c r="N76" i="11"/>
  <c r="EJ9" i="8"/>
  <c r="EJ17" i="6"/>
  <c r="DD9" i="8"/>
  <c r="DD17" i="6"/>
  <c r="BT17" i="6"/>
  <c r="BT9" i="8"/>
  <c r="BD17" i="6"/>
  <c r="AJ9" i="8"/>
  <c r="AJ17" i="6"/>
  <c r="T9" i="8"/>
  <c r="EG17" i="6"/>
  <c r="EG9" i="8"/>
  <c r="DQ17" i="6"/>
  <c r="CW17" i="6"/>
  <c r="CW9" i="8"/>
  <c r="CG17" i="6"/>
  <c r="BQ17" i="6"/>
  <c r="BQ9" i="8"/>
  <c r="AW17" i="6"/>
  <c r="AG17" i="6"/>
  <c r="AG9" i="8"/>
  <c r="Q17" i="6"/>
  <c r="EH17" i="6"/>
  <c r="EH9" i="8"/>
  <c r="DR17" i="6"/>
  <c r="CX17" i="6"/>
  <c r="CX9" i="8"/>
  <c r="CH17" i="6"/>
  <c r="BR17" i="6"/>
  <c r="BR9" i="8"/>
  <c r="AX17" i="6"/>
  <c r="AH17" i="6"/>
  <c r="AH9" i="8"/>
  <c r="R17" i="6"/>
  <c r="EI17" i="6"/>
  <c r="EI9" i="8"/>
  <c r="EA17" i="6"/>
  <c r="DO9" i="8"/>
  <c r="CY9" i="8"/>
  <c r="CI17" i="6"/>
  <c r="CI9" i="8"/>
  <c r="BO17" i="6"/>
  <c r="BO9" i="8"/>
  <c r="AY17" i="6"/>
  <c r="AY9" i="8"/>
  <c r="AI17" i="6"/>
  <c r="AA19" i="3"/>
  <c r="O17" i="6"/>
  <c r="E17" i="6"/>
  <c r="E9" i="8"/>
  <c r="A10" i="15"/>
  <c r="A31" i="15"/>
  <c r="DS7" i="8"/>
  <c r="BG7" i="8"/>
  <c r="S15" i="6"/>
  <c r="EB7" i="8"/>
  <c r="EN7" i="8"/>
  <c r="BH15" i="6"/>
  <c r="AN17" i="3"/>
  <c r="AN15" i="6"/>
  <c r="EM15" i="6"/>
  <c r="BS15" i="6"/>
  <c r="BS7" i="8"/>
  <c r="G7" i="8"/>
  <c r="DH15" i="6"/>
  <c r="CN7" i="8"/>
  <c r="CB15" i="6"/>
  <c r="H15" i="6"/>
  <c r="DY15" i="6"/>
  <c r="DA17" i="3"/>
  <c r="DA15" i="6"/>
  <c r="BY7" i="8"/>
  <c r="BI15" i="6"/>
  <c r="BA15" i="6"/>
  <c r="AO7" i="8"/>
  <c r="I15" i="6"/>
  <c r="ED15" i="6"/>
  <c r="CT15" i="6"/>
  <c r="CT7" i="8"/>
  <c r="BJ7" i="8"/>
  <c r="AT15" i="6"/>
  <c r="J15" i="6"/>
  <c r="CX6" i="3"/>
  <c r="CX6" i="4"/>
  <c r="CX6" i="5"/>
  <c r="CX6" i="6"/>
  <c r="CX6" i="9"/>
  <c r="CX6" i="7"/>
  <c r="CX6" i="8"/>
  <c r="CX7" i="11"/>
  <c r="CX10" i="11"/>
  <c r="CX22" i="11"/>
  <c r="CX11" i="11"/>
  <c r="CP2" i="15" s="1"/>
  <c r="CX13" i="11"/>
  <c r="CX23" i="11"/>
  <c r="CP8" i="15" s="1"/>
  <c r="CX25" i="11"/>
  <c r="CX28" i="11"/>
  <c r="CX16" i="11"/>
  <c r="CX19" i="11"/>
  <c r="CX29" i="11"/>
  <c r="CP11" i="15"/>
  <c r="CX31" i="11"/>
  <c r="CX17" i="11"/>
  <c r="CP5" i="15" s="1"/>
  <c r="CX35" i="11"/>
  <c r="CP14" i="15"/>
  <c r="CX46" i="11"/>
  <c r="CX40" i="11"/>
  <c r="CX34" i="11"/>
  <c r="CX37" i="11"/>
  <c r="CX41" i="11"/>
  <c r="CP17" i="15" s="1"/>
  <c r="CX53" i="11"/>
  <c r="CP23" i="15" s="1"/>
  <c r="CX55" i="11"/>
  <c r="CX65" i="11"/>
  <c r="CP29" i="15" s="1"/>
  <c r="CX67" i="11"/>
  <c r="CX77" i="11"/>
  <c r="CP35" i="15" s="1"/>
  <c r="CX79" i="11"/>
  <c r="CX58" i="11"/>
  <c r="CX70" i="11"/>
  <c r="CX82" i="11"/>
  <c r="CX13" i="12"/>
  <c r="CX43" i="11"/>
  <c r="CX47" i="11"/>
  <c r="CP20" i="15" s="1"/>
  <c r="CX49" i="11"/>
  <c r="CX59" i="11"/>
  <c r="CP26" i="15" s="1"/>
  <c r="CX61" i="11"/>
  <c r="CX71" i="11"/>
  <c r="CP32" i="15" s="1"/>
  <c r="CX73" i="11"/>
  <c r="CX52" i="11"/>
  <c r="CX64" i="11"/>
  <c r="CX76" i="11"/>
  <c r="CX83" i="11"/>
  <c r="CP38" i="15" s="1"/>
  <c r="EL6" i="3"/>
  <c r="EL6" i="4"/>
  <c r="EL6" i="5"/>
  <c r="EL6" i="6"/>
  <c r="EL6" i="9"/>
  <c r="EL6" i="7"/>
  <c r="EL6" i="8"/>
  <c r="EL7" i="11"/>
  <c r="EL10" i="11"/>
  <c r="EL22" i="11"/>
  <c r="EL11" i="11"/>
  <c r="EA2" i="15" s="1"/>
  <c r="EL13" i="11"/>
  <c r="EL23" i="11"/>
  <c r="EA8" i="15" s="1"/>
  <c r="EL25" i="11"/>
  <c r="EL28" i="11"/>
  <c r="EL16" i="11"/>
  <c r="EL19" i="11"/>
  <c r="EL29" i="11"/>
  <c r="EA11" i="15" s="1"/>
  <c r="EL31" i="11"/>
  <c r="EL35" i="11"/>
  <c r="EA14" i="15" s="1"/>
  <c r="EL46" i="11"/>
  <c r="EL40" i="11"/>
  <c r="EL17" i="11"/>
  <c r="EA5" i="15" s="1"/>
  <c r="EL34" i="11"/>
  <c r="EL37" i="11"/>
  <c r="EL41" i="11"/>
  <c r="EA17" i="15" s="1"/>
  <c r="EL47" i="11"/>
  <c r="EA20" i="15" s="1"/>
  <c r="EL49" i="11"/>
  <c r="EL53" i="11"/>
  <c r="EA23" i="15" s="1"/>
  <c r="EL55" i="11"/>
  <c r="EL65" i="11"/>
  <c r="EA29" i="15" s="1"/>
  <c r="EL67" i="11"/>
  <c r="EL77" i="11"/>
  <c r="EA35" i="15" s="1"/>
  <c r="EL79" i="11"/>
  <c r="EL43" i="11"/>
  <c r="EL58" i="11"/>
  <c r="EL70" i="11"/>
  <c r="EL82" i="11"/>
  <c r="EL13" i="12"/>
  <c r="EL59" i="11"/>
  <c r="EA26" i="15" s="1"/>
  <c r="EL61" i="11"/>
  <c r="EL71" i="11"/>
  <c r="EA32" i="15" s="1"/>
  <c r="EL73" i="11"/>
  <c r="EL52" i="11"/>
  <c r="EL64" i="11"/>
  <c r="EL76" i="11"/>
  <c r="EL83" i="11"/>
  <c r="EA38" i="15" s="1"/>
  <c r="E6" i="3"/>
  <c r="E6" i="4"/>
  <c r="E6" i="5"/>
  <c r="E6" i="6"/>
  <c r="E6" i="7"/>
  <c r="E6" i="8"/>
  <c r="E7" i="11"/>
  <c r="E6" i="9"/>
  <c r="E17" i="11"/>
  <c r="D5" i="15" s="1"/>
  <c r="E19" i="11"/>
  <c r="E10" i="11"/>
  <c r="E22" i="11"/>
  <c r="E11" i="11"/>
  <c r="D2" i="15" s="1"/>
  <c r="E13" i="11"/>
  <c r="E35" i="11"/>
  <c r="D14" i="15" s="1"/>
  <c r="E37" i="11"/>
  <c r="E23" i="11"/>
  <c r="D8" i="15" s="1"/>
  <c r="E25" i="11"/>
  <c r="E28" i="11"/>
  <c r="E40" i="11"/>
  <c r="E34" i="11"/>
  <c r="E41" i="11"/>
  <c r="D17" i="15" s="1"/>
  <c r="E43" i="11"/>
  <c r="E16" i="11"/>
  <c r="E29" i="11"/>
  <c r="D11" i="15" s="1"/>
  <c r="E31" i="11"/>
  <c r="E52" i="11"/>
  <c r="E64" i="11"/>
  <c r="E76" i="11"/>
  <c r="E53" i="11"/>
  <c r="D23" i="15" s="1"/>
  <c r="E55" i="11"/>
  <c r="E65" i="11"/>
  <c r="D29" i="15" s="1"/>
  <c r="E67" i="11"/>
  <c r="E77" i="11"/>
  <c r="D35" i="15" s="1"/>
  <c r="E79" i="11"/>
  <c r="E46" i="11"/>
  <c r="E58" i="11"/>
  <c r="E70" i="11"/>
  <c r="E47" i="11"/>
  <c r="D20" i="15" s="1"/>
  <c r="E49" i="11"/>
  <c r="E59" i="11"/>
  <c r="D26" i="15" s="1"/>
  <c r="E61" i="11"/>
  <c r="E71" i="11"/>
  <c r="D32" i="15" s="1"/>
  <c r="E73" i="11"/>
  <c r="E83" i="11"/>
  <c r="D38" i="15" s="1"/>
  <c r="E13" i="12"/>
  <c r="E82" i="11"/>
  <c r="Y6" i="3"/>
  <c r="Y6" i="4"/>
  <c r="Y6" i="5"/>
  <c r="Y6" i="6"/>
  <c r="Y6" i="7"/>
  <c r="Y6" i="8"/>
  <c r="Y7" i="11"/>
  <c r="Y6" i="9"/>
  <c r="Y17" i="11"/>
  <c r="W5" i="15" s="1"/>
  <c r="Y19" i="11"/>
  <c r="Y10" i="11"/>
  <c r="Y22" i="11"/>
  <c r="Y23" i="11"/>
  <c r="W8" i="15" s="1"/>
  <c r="Y25" i="11"/>
  <c r="Y16" i="11"/>
  <c r="Y35" i="11"/>
  <c r="W14" i="15" s="1"/>
  <c r="Y37" i="11"/>
  <c r="Y28" i="11"/>
  <c r="Y40" i="11"/>
  <c r="Y13" i="11"/>
  <c r="Y41" i="11"/>
  <c r="W17" i="15" s="1"/>
  <c r="Y43" i="11"/>
  <c r="Y29" i="11"/>
  <c r="W11" i="15" s="1"/>
  <c r="Y31" i="11"/>
  <c r="Y11" i="11"/>
  <c r="W2" i="15" s="1"/>
  <c r="Y34" i="11"/>
  <c r="Y47" i="11"/>
  <c r="W20" i="15" s="1"/>
  <c r="Y49" i="11"/>
  <c r="Y64" i="11"/>
  <c r="Y76" i="11"/>
  <c r="Y52" i="11"/>
  <c r="Y53" i="11"/>
  <c r="W23" i="15" s="1"/>
  <c r="Y55" i="11"/>
  <c r="Y65" i="11"/>
  <c r="W29" i="15" s="1"/>
  <c r="Y67" i="11"/>
  <c r="Y77" i="11"/>
  <c r="W35" i="15" s="1"/>
  <c r="Y79" i="11"/>
  <c r="Y58" i="11"/>
  <c r="Y70" i="11"/>
  <c r="Y46" i="11"/>
  <c r="Y59" i="11"/>
  <c r="W26" i="15" s="1"/>
  <c r="Y61" i="11"/>
  <c r="Y71" i="11"/>
  <c r="W32" i="15" s="1"/>
  <c r="Y73" i="11"/>
  <c r="Y83" i="11"/>
  <c r="W38" i="15" s="1"/>
  <c r="Y82" i="11"/>
  <c r="Y13" i="12"/>
  <c r="BD6" i="3"/>
  <c r="BD6" i="4"/>
  <c r="BD6" i="5"/>
  <c r="BD6" i="6"/>
  <c r="BD6" i="7"/>
  <c r="BD6" i="8"/>
  <c r="BD6" i="9"/>
  <c r="BD11" i="11"/>
  <c r="AY2" i="15" s="1"/>
  <c r="BD13" i="11"/>
  <c r="BD16" i="11"/>
  <c r="BD7" i="11"/>
  <c r="BD17" i="11"/>
  <c r="AY5" i="15" s="1"/>
  <c r="BD19" i="11"/>
  <c r="BD22" i="11"/>
  <c r="BD23" i="11"/>
  <c r="AY8" i="15" s="1"/>
  <c r="BD25" i="11"/>
  <c r="BD34" i="11"/>
  <c r="BD35" i="11"/>
  <c r="AY14" i="15" s="1"/>
  <c r="BD37" i="11"/>
  <c r="BD40" i="11"/>
  <c r="BD52" i="11"/>
  <c r="BD10" i="11"/>
  <c r="BD28" i="11"/>
  <c r="BD41" i="11"/>
  <c r="AY17" i="15" s="1"/>
  <c r="BD43" i="11"/>
  <c r="BD29" i="11"/>
  <c r="AY11" i="15" s="1"/>
  <c r="BD31" i="11"/>
  <c r="BD46" i="11"/>
  <c r="BD59" i="11"/>
  <c r="AY26" i="15" s="1"/>
  <c r="BD61" i="11"/>
  <c r="BD71" i="11"/>
  <c r="AY32" i="15" s="1"/>
  <c r="BD73" i="11"/>
  <c r="BD47" i="11"/>
  <c r="AY20" i="15" s="1"/>
  <c r="BD49" i="11"/>
  <c r="BD64" i="11"/>
  <c r="BD76" i="11"/>
  <c r="BD53" i="11"/>
  <c r="AY23" i="15" s="1"/>
  <c r="BD55" i="11"/>
  <c r="BD65" i="11"/>
  <c r="AY29" i="15" s="1"/>
  <c r="BD67" i="11"/>
  <c r="BD77" i="11"/>
  <c r="AY35" i="15" s="1"/>
  <c r="BD79" i="11"/>
  <c r="BD58" i="11"/>
  <c r="BD70" i="11"/>
  <c r="BD82" i="11"/>
  <c r="BD13" i="12"/>
  <c r="BD83" i="11"/>
  <c r="AY38" i="15" s="1"/>
  <c r="EF17" i="6"/>
  <c r="EF9" i="8"/>
  <c r="CF9" i="8"/>
  <c r="CF17" i="6"/>
  <c r="AM17" i="6"/>
  <c r="AM9" i="8"/>
  <c r="D15" i="6"/>
  <c r="D7" i="8"/>
  <c r="DR15" i="6"/>
  <c r="DR7" i="8"/>
  <c r="E13" i="8"/>
  <c r="AH6" i="16"/>
  <c r="B6" i="3"/>
  <c r="B6" i="4"/>
  <c r="B6" i="5"/>
  <c r="B6" i="6"/>
  <c r="B6" i="9"/>
  <c r="B6" i="7"/>
  <c r="B6" i="8"/>
  <c r="B7" i="11"/>
  <c r="B10" i="11"/>
  <c r="B22" i="11"/>
  <c r="B11" i="11"/>
  <c r="A2" i="15" s="1"/>
  <c r="N11" i="11"/>
  <c r="B13" i="11"/>
  <c r="B23" i="11"/>
  <c r="A8" i="15" s="1"/>
  <c r="N23" i="11"/>
  <c r="B25" i="11"/>
  <c r="B16" i="11"/>
  <c r="B19" i="11"/>
  <c r="B17" i="11"/>
  <c r="A5" i="15" s="1"/>
  <c r="B28" i="11"/>
  <c r="B29" i="11"/>
  <c r="A11" i="15"/>
  <c r="N29" i="11"/>
  <c r="B31" i="11"/>
  <c r="N35" i="11"/>
  <c r="B46" i="11"/>
  <c r="B34" i="11"/>
  <c r="B37" i="11"/>
  <c r="B35" i="11"/>
  <c r="A14" i="15"/>
  <c r="N17" i="11"/>
  <c r="B40" i="11"/>
  <c r="B41" i="11"/>
  <c r="A17" i="15"/>
  <c r="N41" i="11"/>
  <c r="B43" i="11"/>
  <c r="N47" i="11"/>
  <c r="B53" i="11"/>
  <c r="A23" i="15" s="1"/>
  <c r="N53" i="11"/>
  <c r="B55" i="11"/>
  <c r="B65" i="11"/>
  <c r="A29" i="15" s="1"/>
  <c r="N65" i="11"/>
  <c r="B67" i="11"/>
  <c r="B77" i="11"/>
  <c r="A35" i="15" s="1"/>
  <c r="N77" i="11"/>
  <c r="B79" i="11"/>
  <c r="B47" i="11"/>
  <c r="A20" i="15" s="1"/>
  <c r="B49" i="11"/>
  <c r="B58" i="11"/>
  <c r="B70" i="11"/>
  <c r="B82" i="11"/>
  <c r="B13" i="12"/>
  <c r="B52" i="11"/>
  <c r="B59" i="11"/>
  <c r="A26" i="15" s="1"/>
  <c r="N59" i="11"/>
  <c r="B61" i="11"/>
  <c r="B71" i="11"/>
  <c r="A32" i="15" s="1"/>
  <c r="N71" i="11"/>
  <c r="B73" i="11"/>
  <c r="B64" i="11"/>
  <c r="B76" i="11"/>
  <c r="B83" i="11"/>
  <c r="A38" i="15" s="1"/>
  <c r="N83" i="11"/>
  <c r="J6" i="3"/>
  <c r="J6" i="4"/>
  <c r="J6" i="5"/>
  <c r="J6" i="6"/>
  <c r="J6" i="9"/>
  <c r="J6" i="7"/>
  <c r="J6" i="8"/>
  <c r="J7" i="11"/>
  <c r="J10" i="11"/>
  <c r="J22" i="11"/>
  <c r="J11" i="11"/>
  <c r="I2" i="15" s="1"/>
  <c r="J13" i="11"/>
  <c r="J23" i="11"/>
  <c r="I8" i="15" s="1"/>
  <c r="J25" i="11"/>
  <c r="J16" i="11"/>
  <c r="J19" i="11"/>
  <c r="J17" i="11"/>
  <c r="I5" i="15" s="1"/>
  <c r="J28" i="11"/>
  <c r="J29" i="11"/>
  <c r="I11" i="15" s="1"/>
  <c r="J31" i="11"/>
  <c r="J46" i="11"/>
  <c r="J34" i="11"/>
  <c r="J37" i="11"/>
  <c r="J40" i="11"/>
  <c r="J35" i="11"/>
  <c r="I14" i="15" s="1"/>
  <c r="J41" i="11"/>
  <c r="I17" i="15" s="1"/>
  <c r="J43" i="11"/>
  <c r="J52" i="11"/>
  <c r="J53" i="11"/>
  <c r="I23" i="15" s="1"/>
  <c r="J55" i="11"/>
  <c r="J65" i="11"/>
  <c r="I29" i="15" s="1"/>
  <c r="J67" i="11"/>
  <c r="J77" i="11"/>
  <c r="I35" i="15" s="1"/>
  <c r="J79" i="11"/>
  <c r="J58" i="11"/>
  <c r="J70" i="11"/>
  <c r="J82" i="11"/>
  <c r="J13" i="12"/>
  <c r="J59" i="11"/>
  <c r="I26" i="15" s="1"/>
  <c r="J61" i="11"/>
  <c r="J71" i="11"/>
  <c r="I32" i="15" s="1"/>
  <c r="J73" i="11"/>
  <c r="J47" i="11"/>
  <c r="I20" i="15" s="1"/>
  <c r="J49" i="11"/>
  <c r="J64" i="11"/>
  <c r="J76" i="11"/>
  <c r="J83" i="11"/>
  <c r="I38" i="15" s="1"/>
  <c r="AC6" i="3"/>
  <c r="AC6" i="4"/>
  <c r="AC6" i="5"/>
  <c r="AC6" i="6"/>
  <c r="AC6" i="7"/>
  <c r="AC6" i="8"/>
  <c r="AC7" i="11"/>
  <c r="AC6" i="9"/>
  <c r="AC17" i="11"/>
  <c r="Z5" i="15" s="1"/>
  <c r="AC19" i="11"/>
  <c r="AC10" i="11"/>
  <c r="AC22" i="11"/>
  <c r="AC35" i="11"/>
  <c r="Z14" i="15" s="1"/>
  <c r="AC37" i="11"/>
  <c r="AC11" i="11"/>
  <c r="Z2" i="15" s="1"/>
  <c r="AC13" i="11"/>
  <c r="AC23" i="11"/>
  <c r="Z8" i="15" s="1"/>
  <c r="AC25" i="11"/>
  <c r="AC28" i="11"/>
  <c r="AC40" i="11"/>
  <c r="AC34" i="11"/>
  <c r="AC41" i="11"/>
  <c r="Z17" i="15" s="1"/>
  <c r="AC43" i="11"/>
  <c r="AC16" i="11"/>
  <c r="AC29" i="11"/>
  <c r="Z11" i="15" s="1"/>
  <c r="AC31" i="11"/>
  <c r="AC46" i="11"/>
  <c r="AC64" i="11"/>
  <c r="AC76" i="11"/>
  <c r="AC47" i="11"/>
  <c r="Z20" i="15" s="1"/>
  <c r="AC49" i="11"/>
  <c r="AC53" i="11"/>
  <c r="Z23" i="15" s="1"/>
  <c r="AC55" i="11"/>
  <c r="AC65" i="11"/>
  <c r="Z29" i="15" s="1"/>
  <c r="AC67" i="11"/>
  <c r="AC77" i="11"/>
  <c r="Z35" i="15" s="1"/>
  <c r="AC79" i="11"/>
  <c r="AC52" i="11"/>
  <c r="AC58" i="11"/>
  <c r="AC70" i="11"/>
  <c r="AC59" i="11"/>
  <c r="Z26" i="15" s="1"/>
  <c r="AC61" i="11"/>
  <c r="AC71" i="11"/>
  <c r="Z32" i="15" s="1"/>
  <c r="AC73" i="11"/>
  <c r="AC83" i="11"/>
  <c r="Z38" i="15" s="1"/>
  <c r="AC13" i="12"/>
  <c r="AC82" i="11"/>
  <c r="BQ6" i="3"/>
  <c r="BQ6" i="5"/>
  <c r="BQ6" i="6"/>
  <c r="BQ6" i="4"/>
  <c r="BQ6" i="7"/>
  <c r="BQ6" i="8"/>
  <c r="BQ6" i="9"/>
  <c r="BQ7" i="11"/>
  <c r="BQ17" i="11"/>
  <c r="BK5" i="15" s="1"/>
  <c r="BQ19" i="11"/>
  <c r="BQ10" i="11"/>
  <c r="BQ22" i="11"/>
  <c r="BQ11" i="11"/>
  <c r="BK2" i="15" s="1"/>
  <c r="BQ13" i="11"/>
  <c r="BQ35" i="11"/>
  <c r="BK14" i="15" s="1"/>
  <c r="BQ37" i="11"/>
  <c r="BQ23" i="11"/>
  <c r="BK8" i="15" s="1"/>
  <c r="BQ25" i="11"/>
  <c r="BQ28" i="11"/>
  <c r="BQ34" i="11"/>
  <c r="BQ41" i="11"/>
  <c r="BK17" i="15" s="1"/>
  <c r="BQ43" i="11"/>
  <c r="BQ16" i="11"/>
  <c r="BQ29" i="11"/>
  <c r="BK11" i="15" s="1"/>
  <c r="BQ31" i="11"/>
  <c r="BQ40" i="11"/>
  <c r="BQ52" i="11"/>
  <c r="BQ64" i="11"/>
  <c r="BQ76" i="11"/>
  <c r="BQ53" i="11"/>
  <c r="BK23" i="15" s="1"/>
  <c r="BQ55" i="11"/>
  <c r="BQ65" i="11"/>
  <c r="BK29" i="15"/>
  <c r="BQ67" i="11"/>
  <c r="BQ77" i="11"/>
  <c r="BK35" i="15" s="1"/>
  <c r="BQ79" i="11"/>
  <c r="BQ46" i="11"/>
  <c r="BQ58" i="11"/>
  <c r="BQ70" i="11"/>
  <c r="BQ47" i="11"/>
  <c r="BK20" i="15" s="1"/>
  <c r="BQ49" i="11"/>
  <c r="BQ59" i="11"/>
  <c r="BK26" i="15" s="1"/>
  <c r="BQ61" i="11"/>
  <c r="BQ71" i="11"/>
  <c r="BK32" i="15" s="1"/>
  <c r="BQ73" i="11"/>
  <c r="BQ83" i="11"/>
  <c r="BK38" i="15" s="1"/>
  <c r="BQ13" i="12"/>
  <c r="BQ82" i="11"/>
  <c r="BB6" i="3"/>
  <c r="BB6" i="4"/>
  <c r="BB6" i="5"/>
  <c r="BB6" i="6"/>
  <c r="BB6" i="9"/>
  <c r="BB6" i="7"/>
  <c r="BB6" i="8"/>
  <c r="BB7" i="11"/>
  <c r="BB10" i="11"/>
  <c r="BB22" i="11"/>
  <c r="BB11" i="11"/>
  <c r="AW2" i="15" s="1"/>
  <c r="BN11" i="11"/>
  <c r="BB13" i="11"/>
  <c r="BB23" i="11"/>
  <c r="AW8" i="15" s="1"/>
  <c r="BN23" i="11"/>
  <c r="BB25" i="11"/>
  <c r="BN17" i="11"/>
  <c r="BB28" i="11"/>
  <c r="BB16" i="11"/>
  <c r="BB19" i="11"/>
  <c r="BB29" i="11"/>
  <c r="AW11" i="15" s="1"/>
  <c r="BN29" i="11"/>
  <c r="BB31" i="11"/>
  <c r="BB35" i="11"/>
  <c r="AW14" i="15" s="1"/>
  <c r="BB46" i="11"/>
  <c r="BB17" i="11"/>
  <c r="AW5" i="15" s="1"/>
  <c r="BN35" i="11"/>
  <c r="BB40" i="11"/>
  <c r="BB34" i="11"/>
  <c r="BB37" i="11"/>
  <c r="BB41" i="11"/>
  <c r="AW17" i="15" s="1"/>
  <c r="BN41" i="11"/>
  <c r="BB43" i="11"/>
  <c r="BB53" i="11"/>
  <c r="AW23" i="15" s="1"/>
  <c r="BN53" i="11"/>
  <c r="BB55" i="11"/>
  <c r="BB65" i="11"/>
  <c r="AW29" i="15" s="1"/>
  <c r="BN65" i="11"/>
  <c r="BB67" i="11"/>
  <c r="BB77" i="11"/>
  <c r="AW35" i="15" s="1"/>
  <c r="BN77" i="11"/>
  <c r="BB79" i="11"/>
  <c r="BN47" i="11"/>
  <c r="BB58" i="11"/>
  <c r="BB70" i="11"/>
  <c r="BB82" i="11"/>
  <c r="BB13" i="12"/>
  <c r="BB47" i="11"/>
  <c r="AW20" i="15" s="1"/>
  <c r="BB49" i="11"/>
  <c r="BB59" i="11"/>
  <c r="AW26" i="15" s="1"/>
  <c r="BN59" i="11"/>
  <c r="BB61" i="11"/>
  <c r="BB71" i="11"/>
  <c r="AW32" i="15" s="1"/>
  <c r="BN71" i="11"/>
  <c r="BB73" i="11"/>
  <c r="BB52" i="11"/>
  <c r="BB64" i="11"/>
  <c r="BB76" i="11"/>
  <c r="BN83" i="11"/>
  <c r="BB83" i="11"/>
  <c r="AW38" i="15" s="1"/>
  <c r="BI6" i="3"/>
  <c r="BI6" i="4"/>
  <c r="BI6" i="5"/>
  <c r="BI6" i="6"/>
  <c r="BI6" i="7"/>
  <c r="BI6" i="8"/>
  <c r="BI7" i="11"/>
  <c r="BI6" i="9"/>
  <c r="BI17" i="11"/>
  <c r="BD5" i="15" s="1"/>
  <c r="BI19" i="11"/>
  <c r="BI10" i="11"/>
  <c r="BI22" i="11"/>
  <c r="BI35" i="11"/>
  <c r="BD14" i="15" s="1"/>
  <c r="BI37" i="11"/>
  <c r="BI11" i="11"/>
  <c r="BD2" i="15" s="1"/>
  <c r="BI13" i="11"/>
  <c r="BI23" i="11"/>
  <c r="BD8" i="15" s="1"/>
  <c r="BI25" i="11"/>
  <c r="BI28" i="11"/>
  <c r="BI34" i="11"/>
  <c r="BI41" i="11"/>
  <c r="BD17" i="15" s="1"/>
  <c r="BI43" i="11"/>
  <c r="BI16" i="11"/>
  <c r="BI29" i="11"/>
  <c r="BD11" i="15" s="1"/>
  <c r="BI31" i="11"/>
  <c r="BI40" i="11"/>
  <c r="BI46" i="11"/>
  <c r="BI64" i="11"/>
  <c r="BI76" i="11"/>
  <c r="BI47" i="11"/>
  <c r="BD20" i="15" s="1"/>
  <c r="BI49" i="11"/>
  <c r="BI53" i="11"/>
  <c r="BD23" i="15" s="1"/>
  <c r="BI55" i="11"/>
  <c r="BI65" i="11"/>
  <c r="BD29" i="15" s="1"/>
  <c r="BI67" i="11"/>
  <c r="BI77" i="11"/>
  <c r="BD35" i="15" s="1"/>
  <c r="BI79" i="11"/>
  <c r="BI52" i="11"/>
  <c r="BI58" i="11"/>
  <c r="BI70" i="11"/>
  <c r="BI59" i="11"/>
  <c r="BD26" i="15" s="1"/>
  <c r="BI61" i="11"/>
  <c r="BI71" i="11"/>
  <c r="BD32" i="15" s="1"/>
  <c r="BI73" i="11"/>
  <c r="BI83" i="11"/>
  <c r="BD38" i="15" s="1"/>
  <c r="BI13" i="12"/>
  <c r="BI82" i="11"/>
  <c r="DO6" i="3"/>
  <c r="DO6" i="4"/>
  <c r="DO6" i="5"/>
  <c r="DO6" i="6"/>
  <c r="DO6" i="9"/>
  <c r="DO6" i="7"/>
  <c r="DO6" i="8"/>
  <c r="DO10" i="11"/>
  <c r="DO11" i="11"/>
  <c r="DE2" i="15" s="1"/>
  <c r="EA11" i="11"/>
  <c r="DO13" i="11"/>
  <c r="DO23" i="11"/>
  <c r="DE8" i="15" s="1"/>
  <c r="EA23" i="11"/>
  <c r="DO25" i="11"/>
  <c r="DO16" i="11"/>
  <c r="DO7" i="11"/>
  <c r="EA17" i="11"/>
  <c r="DO19" i="11"/>
  <c r="DO22" i="11"/>
  <c r="DO29" i="11"/>
  <c r="DE11" i="15" s="1"/>
  <c r="EA29" i="11"/>
  <c r="DO31" i="11"/>
  <c r="DO17" i="11"/>
  <c r="DE5" i="15" s="1"/>
  <c r="DO34" i="11"/>
  <c r="DO47" i="11"/>
  <c r="DE20" i="15" s="1"/>
  <c r="EA47" i="11"/>
  <c r="DO49" i="11"/>
  <c r="EA35" i="11"/>
  <c r="DO40" i="11"/>
  <c r="DO28" i="11"/>
  <c r="DO37" i="11"/>
  <c r="DO41" i="11"/>
  <c r="DE17" i="15" s="1"/>
  <c r="EA41" i="11"/>
  <c r="DO35" i="11"/>
  <c r="DE14" i="15" s="1"/>
  <c r="DO43" i="11"/>
  <c r="DO58" i="11"/>
  <c r="DO70" i="11"/>
  <c r="DO46" i="11"/>
  <c r="DO59" i="11"/>
  <c r="DE26" i="15"/>
  <c r="EA59" i="11"/>
  <c r="DO61" i="11"/>
  <c r="DO71" i="11"/>
  <c r="DE32" i="15"/>
  <c r="EA71" i="11"/>
  <c r="DO73" i="11"/>
  <c r="DO83" i="11"/>
  <c r="DE38" i="15"/>
  <c r="EA83" i="11"/>
  <c r="DO52" i="11"/>
  <c r="DO64" i="11"/>
  <c r="DO76" i="11"/>
  <c r="DO53" i="11"/>
  <c r="DE23" i="15" s="1"/>
  <c r="EA53" i="11"/>
  <c r="DO55" i="11"/>
  <c r="DO65" i="11"/>
  <c r="DE29" i="15" s="1"/>
  <c r="EA65" i="11"/>
  <c r="DO67" i="11"/>
  <c r="DO77" i="11"/>
  <c r="DE35" i="15" s="1"/>
  <c r="EA77" i="11"/>
  <c r="DO79" i="11"/>
  <c r="DO13" i="12"/>
  <c r="DO82" i="11"/>
  <c r="AS6" i="3"/>
  <c r="AS6" i="4"/>
  <c r="AS6" i="5"/>
  <c r="AS6" i="6"/>
  <c r="AS6" i="7"/>
  <c r="AS6" i="8"/>
  <c r="AS7" i="11"/>
  <c r="AS6" i="9"/>
  <c r="AS17" i="11"/>
  <c r="AO5" i="15" s="1"/>
  <c r="AS19" i="11"/>
  <c r="AS10" i="11"/>
  <c r="AS22" i="11"/>
  <c r="AS35" i="11"/>
  <c r="AO14" i="15" s="1"/>
  <c r="AS37" i="11"/>
  <c r="AS11" i="11"/>
  <c r="AO2" i="15"/>
  <c r="AS13" i="11"/>
  <c r="AS23" i="11"/>
  <c r="AO8" i="15" s="1"/>
  <c r="AS25" i="11"/>
  <c r="AS28" i="11"/>
  <c r="AS40" i="11"/>
  <c r="AS34" i="11"/>
  <c r="AS41" i="11"/>
  <c r="AO17" i="15" s="1"/>
  <c r="AS43" i="11"/>
  <c r="AS16" i="11"/>
  <c r="AS29" i="11"/>
  <c r="AO11" i="15" s="1"/>
  <c r="AS31" i="11"/>
  <c r="AS46" i="11"/>
  <c r="AS64" i="11"/>
  <c r="AS76" i="11"/>
  <c r="AS47" i="11"/>
  <c r="AO20" i="15" s="1"/>
  <c r="AS49" i="11"/>
  <c r="AS53" i="11"/>
  <c r="AO23" i="15" s="1"/>
  <c r="AS55" i="11"/>
  <c r="AS65" i="11"/>
  <c r="AO29" i="15" s="1"/>
  <c r="AS67" i="11"/>
  <c r="AS77" i="11"/>
  <c r="AO35" i="15" s="1"/>
  <c r="AS79" i="11"/>
  <c r="AS52" i="11"/>
  <c r="AS58" i="11"/>
  <c r="AS70" i="11"/>
  <c r="AS59" i="11"/>
  <c r="AO26" i="15" s="1"/>
  <c r="AS61" i="11"/>
  <c r="AS71" i="11"/>
  <c r="AO32" i="15" s="1"/>
  <c r="AS73" i="11"/>
  <c r="AS83" i="11"/>
  <c r="AO38" i="15" s="1"/>
  <c r="AS13" i="12"/>
  <c r="AS82" i="11"/>
  <c r="AA14" i="12"/>
  <c r="AB14" i="12"/>
  <c r="AC14" i="12" s="1"/>
  <c r="AD14" i="12" s="1"/>
  <c r="AE14" i="12" s="1"/>
  <c r="AF14" i="12" s="1"/>
  <c r="AG14" i="12" s="1"/>
  <c r="AH14" i="12" s="1"/>
  <c r="AI14" i="12" s="1"/>
  <c r="AJ14" i="12" s="1"/>
  <c r="AK14" i="12" s="1"/>
  <c r="AL14" i="12" s="1"/>
  <c r="AM14" i="12" s="1"/>
  <c r="CB7" i="9"/>
  <c r="B9" i="4"/>
  <c r="B11" i="4" s="1"/>
  <c r="A34" i="15"/>
  <c r="A25" i="15"/>
  <c r="C7" i="5"/>
  <c r="B7" i="6"/>
  <c r="A7" i="15"/>
  <c r="EB9" i="8" l="1"/>
  <c r="EB17" i="6"/>
  <c r="CV9" i="8"/>
  <c r="CV17" i="6"/>
  <c r="BL17" i="6"/>
  <c r="BL9" i="8"/>
  <c r="AB9" i="8"/>
  <c r="AB17" i="6"/>
  <c r="AI7" i="8"/>
  <c r="AI15" i="6"/>
  <c r="AJ7" i="8"/>
  <c r="AJ15" i="6"/>
  <c r="DP15" i="6"/>
  <c r="DP7" i="8"/>
  <c r="BD7" i="8"/>
  <c r="BN15" i="6"/>
  <c r="EC7" i="8"/>
  <c r="EC15" i="6"/>
  <c r="BM7" i="8"/>
  <c r="BM15" i="6"/>
  <c r="EH7" i="8"/>
  <c r="EH15" i="6"/>
  <c r="AX7" i="8"/>
  <c r="AX15" i="6"/>
  <c r="F136" i="14"/>
  <c r="EK8" i="11"/>
  <c r="DZ3" i="15" s="1"/>
  <c r="EK32" i="11"/>
  <c r="DZ15" i="15" s="1"/>
  <c r="EK50" i="11"/>
  <c r="DZ24" i="15" s="1"/>
  <c r="EK26" i="11"/>
  <c r="DZ12" i="15" s="1"/>
  <c r="EK74" i="11"/>
  <c r="DZ36" i="15" s="1"/>
  <c r="EK14" i="11"/>
  <c r="DZ6" i="15" s="1"/>
  <c r="EK44" i="11"/>
  <c r="DZ21" i="15" s="1"/>
  <c r="EK68" i="11"/>
  <c r="DZ33" i="15" s="1"/>
  <c r="EK20" i="11"/>
  <c r="DZ9" i="15" s="1"/>
  <c r="EK38" i="11"/>
  <c r="DZ18" i="15" s="1"/>
  <c r="EK80" i="11"/>
  <c r="DZ39" i="15" s="1"/>
  <c r="EK62" i="11"/>
  <c r="DZ30" i="15" s="1"/>
  <c r="ED6" i="5"/>
  <c r="ED6" i="8"/>
  <c r="ED11" i="11"/>
  <c r="DS2" i="15" s="1"/>
  <c r="ED28" i="11"/>
  <c r="ED31" i="11"/>
  <c r="ED46" i="11"/>
  <c r="ED41" i="11"/>
  <c r="DS17" i="15" s="1"/>
  <c r="ED67" i="11"/>
  <c r="ED58" i="11"/>
  <c r="ED47" i="11"/>
  <c r="DS20" i="15" s="1"/>
  <c r="ED71" i="11"/>
  <c r="DS32" i="15" s="1"/>
  <c r="ED64" i="11"/>
  <c r="ED6" i="9"/>
  <c r="ED22" i="11"/>
  <c r="ED16" i="11"/>
  <c r="ED35" i="11"/>
  <c r="DS14" i="15" s="1"/>
  <c r="ED37" i="11"/>
  <c r="ED77" i="11"/>
  <c r="DS35" i="15" s="1"/>
  <c r="ED82" i="11"/>
  <c r="ED61" i="11"/>
  <c r="ED76" i="11"/>
  <c r="ED6" i="4"/>
  <c r="ED7" i="11"/>
  <c r="ED23" i="11"/>
  <c r="DS8" i="15" s="1"/>
  <c r="ED29" i="11"/>
  <c r="DS11" i="15" s="1"/>
  <c r="ED40" i="11"/>
  <c r="ED55" i="11"/>
  <c r="ED43" i="11"/>
  <c r="ED10" i="11"/>
  <c r="ED17" i="11"/>
  <c r="DS5" i="15" s="1"/>
  <c r="ED65" i="11"/>
  <c r="DS29" i="15" s="1"/>
  <c r="ED49" i="11"/>
  <c r="ED52" i="11"/>
  <c r="ED83" i="11"/>
  <c r="DS38" i="15" s="1"/>
  <c r="ED6" i="3"/>
  <c r="ED13" i="11"/>
  <c r="ED79" i="11"/>
  <c r="ED59" i="11"/>
  <c r="DS26" i="15" s="1"/>
  <c r="ED6" i="6"/>
  <c r="ED25" i="11"/>
  <c r="ED34" i="11"/>
  <c r="ED70" i="11"/>
  <c r="ED53" i="11"/>
  <c r="DS23" i="15" s="1"/>
  <c r="ED13" i="12"/>
  <c r="ED6" i="7"/>
  <c r="ED73" i="11"/>
  <c r="EN6" i="3"/>
  <c r="EN6" i="7"/>
  <c r="EN16" i="11"/>
  <c r="EN10" i="11"/>
  <c r="EN40" i="11"/>
  <c r="EN61" i="11"/>
  <c r="EN76" i="11"/>
  <c r="EN79" i="11"/>
  <c r="EN82" i="11"/>
  <c r="EN6" i="4"/>
  <c r="EN6" i="8"/>
  <c r="EN7" i="11"/>
  <c r="EN25" i="11"/>
  <c r="EN28" i="11"/>
  <c r="EN73" i="11"/>
  <c r="EN46" i="11"/>
  <c r="EN49" i="11"/>
  <c r="EN13" i="12"/>
  <c r="EN6" i="5"/>
  <c r="EN6" i="9"/>
  <c r="EN19" i="11"/>
  <c r="EN34" i="11"/>
  <c r="EN43" i="11"/>
  <c r="EN52" i="11"/>
  <c r="EN55" i="11"/>
  <c r="EN58" i="11"/>
  <c r="DW20" i="11"/>
  <c r="DM9" i="15" s="1"/>
  <c r="DW62" i="11"/>
  <c r="DM30" i="15" s="1"/>
  <c r="DW32" i="11"/>
  <c r="DM15" i="15" s="1"/>
  <c r="DW56" i="11"/>
  <c r="DM27" i="15" s="1"/>
  <c r="DW44" i="11"/>
  <c r="DM21" i="15" s="1"/>
  <c r="DW68" i="11"/>
  <c r="DM33" i="15" s="1"/>
  <c r="DW38" i="11"/>
  <c r="DM18" i="15" s="1"/>
  <c r="F123" i="14"/>
  <c r="DW8" i="11"/>
  <c r="DM3" i="15" s="1"/>
  <c r="DW26" i="11"/>
  <c r="DM12" i="15" s="1"/>
  <c r="DW74" i="11"/>
  <c r="DM36" i="15" s="1"/>
  <c r="DW50" i="11"/>
  <c r="DM24" i="15" s="1"/>
  <c r="F121" i="14"/>
  <c r="DU20" i="11"/>
  <c r="DK9" i="15" s="1"/>
  <c r="DU44" i="11"/>
  <c r="DK21" i="15" s="1"/>
  <c r="DU56" i="11"/>
  <c r="DK27" i="15" s="1"/>
  <c r="DU8" i="11"/>
  <c r="DK3" i="15" s="1"/>
  <c r="DU62" i="11"/>
  <c r="DK30" i="15" s="1"/>
  <c r="DU38" i="11"/>
  <c r="DK18" i="15" s="1"/>
  <c r="DU50" i="11"/>
  <c r="DK24" i="15" s="1"/>
  <c r="DU26" i="11"/>
  <c r="DK12" i="15" s="1"/>
  <c r="DU32" i="11"/>
  <c r="DK15" i="15" s="1"/>
  <c r="DU74" i="11"/>
  <c r="DK36" i="15" s="1"/>
  <c r="DU68" i="11"/>
  <c r="DK33" i="15" s="1"/>
  <c r="DJ6" i="3"/>
  <c r="DJ6" i="9"/>
  <c r="DJ10" i="11"/>
  <c r="DJ13" i="11"/>
  <c r="DJ19" i="11"/>
  <c r="DJ29" i="11"/>
  <c r="DA11" i="15" s="1"/>
  <c r="DJ37" i="11"/>
  <c r="DJ67" i="11"/>
  <c r="DJ47" i="11"/>
  <c r="DA20" i="15" s="1"/>
  <c r="DJ82" i="11"/>
  <c r="DJ71" i="11"/>
  <c r="DA32" i="15" s="1"/>
  <c r="DJ64" i="11"/>
  <c r="DJ6" i="4"/>
  <c r="DJ6" i="7"/>
  <c r="DJ22" i="11"/>
  <c r="DJ23" i="11"/>
  <c r="DA8" i="15" s="1"/>
  <c r="DJ17" i="11"/>
  <c r="DA5" i="15" s="1"/>
  <c r="DJ31" i="11"/>
  <c r="DJ35" i="11"/>
  <c r="DA14" i="15" s="1"/>
  <c r="DJ53" i="11"/>
  <c r="DA23" i="15" s="1"/>
  <c r="DJ77" i="11"/>
  <c r="DA35" i="15" s="1"/>
  <c r="DJ49" i="11"/>
  <c r="DJ13" i="12"/>
  <c r="DJ73" i="11"/>
  <c r="DJ76" i="11"/>
  <c r="DJ83" i="11"/>
  <c r="DA38" i="15" s="1"/>
  <c r="DJ6" i="5"/>
  <c r="DJ6" i="8"/>
  <c r="DJ11" i="11"/>
  <c r="DA2" i="15" s="1"/>
  <c r="DJ25" i="11"/>
  <c r="DJ46" i="11"/>
  <c r="DJ40" i="11"/>
  <c r="DJ55" i="11"/>
  <c r="DJ58" i="11"/>
  <c r="DJ59" i="11"/>
  <c r="DA26" i="15" s="1"/>
  <c r="DJ43" i="11"/>
  <c r="L56" i="11"/>
  <c r="K27" i="15" s="1"/>
  <c r="F17" i="14"/>
  <c r="L32" i="11"/>
  <c r="K15" i="15" s="1"/>
  <c r="L80" i="11"/>
  <c r="K39" i="15" s="1"/>
  <c r="L68" i="11"/>
  <c r="K33" i="15" s="1"/>
  <c r="L26" i="11"/>
  <c r="K12" i="15" s="1"/>
  <c r="L50" i="11"/>
  <c r="K24" i="15" s="1"/>
  <c r="L74" i="11"/>
  <c r="K36" i="15" s="1"/>
  <c r="L62" i="11"/>
  <c r="K30" i="15" s="1"/>
  <c r="L44" i="11"/>
  <c r="K21" i="15" s="1"/>
  <c r="I8" i="11"/>
  <c r="H3" i="15" s="1"/>
  <c r="I38" i="11"/>
  <c r="H18" i="15" s="1"/>
  <c r="I74" i="11"/>
  <c r="H36" i="15" s="1"/>
  <c r="I20" i="11"/>
  <c r="H9" i="15" s="1"/>
  <c r="I32" i="11"/>
  <c r="H15" i="15" s="1"/>
  <c r="I50" i="11"/>
  <c r="H24" i="15" s="1"/>
  <c r="I80" i="11"/>
  <c r="H39" i="15" s="1"/>
  <c r="I62" i="11"/>
  <c r="H30" i="15" s="1"/>
  <c r="I56" i="11"/>
  <c r="H27" i="15" s="1"/>
  <c r="I44" i="11"/>
  <c r="H21" i="15" s="1"/>
  <c r="W9" i="8"/>
  <c r="CQ9" i="8"/>
  <c r="Z9" i="8"/>
  <c r="CP9" i="8"/>
  <c r="Y9" i="8"/>
  <c r="BY17" i="6"/>
  <c r="H17" i="6"/>
  <c r="EN17" i="6"/>
  <c r="P15" i="6"/>
  <c r="CA7" i="8"/>
  <c r="L8" i="11"/>
  <c r="K3" i="15" s="1"/>
  <c r="F14" i="14"/>
  <c r="I14" i="11"/>
  <c r="H6" i="15" s="1"/>
  <c r="S6" i="5"/>
  <c r="S6" i="8"/>
  <c r="S13" i="11"/>
  <c r="S17" i="11"/>
  <c r="Q5" i="15" s="1"/>
  <c r="S28" i="11"/>
  <c r="S35" i="11"/>
  <c r="Q14" i="15" s="1"/>
  <c r="S43" i="11"/>
  <c r="S70" i="11"/>
  <c r="S71" i="11"/>
  <c r="Q32" i="15" s="1"/>
  <c r="S76" i="11"/>
  <c r="S67" i="11"/>
  <c r="S82" i="11"/>
  <c r="S6" i="3"/>
  <c r="S6" i="9"/>
  <c r="S7" i="11"/>
  <c r="S25" i="11"/>
  <c r="S31" i="11"/>
  <c r="S47" i="11"/>
  <c r="Q20" i="15" s="1"/>
  <c r="S40" i="11"/>
  <c r="S46" i="11"/>
  <c r="S59" i="11"/>
  <c r="Q26" i="15" s="1"/>
  <c r="S83" i="11"/>
  <c r="Q38" i="15" s="1"/>
  <c r="S55" i="11"/>
  <c r="S79" i="11"/>
  <c r="DJ70" i="11"/>
  <c r="DJ34" i="11"/>
  <c r="DJ7" i="11"/>
  <c r="EN31" i="11"/>
  <c r="EN6" i="6"/>
  <c r="DU14" i="11"/>
  <c r="DK6" i="15" s="1"/>
  <c r="EK56" i="11"/>
  <c r="DZ27" i="15" s="1"/>
  <c r="AQ9" i="8"/>
  <c r="DG9" i="8"/>
  <c r="AP9" i="8"/>
  <c r="DF9" i="8"/>
  <c r="BA9" i="8"/>
  <c r="CO17" i="6"/>
  <c r="AV9" i="8"/>
  <c r="BR7" i="8"/>
  <c r="AA7" i="8"/>
  <c r="EI15" i="6"/>
  <c r="L38" i="11"/>
  <c r="K18" i="15" s="1"/>
  <c r="I68" i="11"/>
  <c r="H33" i="15" s="1"/>
  <c r="DJ79" i="11"/>
  <c r="DJ28" i="11"/>
  <c r="DJ6" i="6"/>
  <c r="EN70" i="11"/>
  <c r="EN37" i="11"/>
  <c r="BN6" i="5"/>
  <c r="BN6" i="8"/>
  <c r="BN13" i="11"/>
  <c r="BN28" i="11"/>
  <c r="BN37" i="11"/>
  <c r="BN67" i="11"/>
  <c r="BN70" i="11"/>
  <c r="BN61" i="11"/>
  <c r="ED19" i="11"/>
  <c r="AJ6" i="6"/>
  <c r="AJ7" i="11"/>
  <c r="AJ16" i="11"/>
  <c r="AJ10" i="11"/>
  <c r="AJ37" i="11"/>
  <c r="AJ40" i="11"/>
  <c r="AJ25" i="11"/>
  <c r="AJ59" i="11"/>
  <c r="AG26" i="15" s="1"/>
  <c r="AJ64" i="11"/>
  <c r="AJ55" i="11"/>
  <c r="AJ79" i="11"/>
  <c r="AJ82" i="11"/>
  <c r="F9" i="8"/>
  <c r="BG9" i="8"/>
  <c r="DW9" i="8"/>
  <c r="BF9" i="8"/>
  <c r="DZ9" i="8"/>
  <c r="AO17" i="6"/>
  <c r="DI17" i="6"/>
  <c r="CB9" i="8"/>
  <c r="M7" i="8"/>
  <c r="CI15" i="6"/>
  <c r="DJ52" i="11"/>
  <c r="DJ65" i="11"/>
  <c r="DA29" i="15" s="1"/>
  <c r="DJ16" i="11"/>
  <c r="EN67" i="11"/>
  <c r="EN22" i="11"/>
  <c r="AN13" i="11"/>
  <c r="AN19" i="11"/>
  <c r="DU80" i="11"/>
  <c r="DK39" i="15" s="1"/>
  <c r="DW14" i="11"/>
  <c r="DM6" i="15" s="1"/>
  <c r="AL9" i="8"/>
  <c r="DU9" i="8"/>
  <c r="EL26" i="11"/>
  <c r="EA12" i="15" s="1"/>
  <c r="EL32" i="11"/>
  <c r="EA15" i="15" s="1"/>
  <c r="EL56" i="11"/>
  <c r="EA27" i="15" s="1"/>
  <c r="EL62" i="11"/>
  <c r="EA30" i="15" s="1"/>
  <c r="EL14" i="11"/>
  <c r="EA6" i="15" s="1"/>
  <c r="EL50" i="11"/>
  <c r="EA24" i="15" s="1"/>
  <c r="EL74" i="11"/>
  <c r="EA36" i="15" s="1"/>
  <c r="EL20" i="11"/>
  <c r="EA9" i="15" s="1"/>
  <c r="EL38" i="11"/>
  <c r="EA18" i="15" s="1"/>
  <c r="EL80" i="11"/>
  <c r="EA39" i="15" s="1"/>
  <c r="EI80" i="11"/>
  <c r="DX39" i="15" s="1"/>
  <c r="EI62" i="11"/>
  <c r="DX30" i="15" s="1"/>
  <c r="EH61" i="11"/>
  <c r="EH53" i="11"/>
  <c r="DW23" i="15" s="1"/>
  <c r="EH17" i="11"/>
  <c r="DW5" i="15" s="1"/>
  <c r="F134" i="14"/>
  <c r="EI8" i="11"/>
  <c r="DX3" i="15" s="1"/>
  <c r="EI26" i="11"/>
  <c r="DX12" i="15" s="1"/>
  <c r="EI44" i="11"/>
  <c r="DX21" i="15" s="1"/>
  <c r="EH6" i="5"/>
  <c r="EH6" i="8"/>
  <c r="EH11" i="11"/>
  <c r="DW2" i="15" s="1"/>
  <c r="EH25" i="11"/>
  <c r="EH28" i="11"/>
  <c r="EH34" i="11"/>
  <c r="EH41" i="11"/>
  <c r="DW17" i="15" s="1"/>
  <c r="EH67" i="11"/>
  <c r="EH58" i="11"/>
  <c r="EH59" i="11"/>
  <c r="DW26" i="15" s="1"/>
  <c r="EH43" i="11"/>
  <c r="EH64" i="11"/>
  <c r="EH6" i="3"/>
  <c r="EH6" i="9"/>
  <c r="EH10" i="11"/>
  <c r="EH13" i="11"/>
  <c r="EH19" i="11"/>
  <c r="EH31" i="11"/>
  <c r="EH35" i="11"/>
  <c r="DW14" i="15" s="1"/>
  <c r="EH55" i="11"/>
  <c r="EH82" i="11"/>
  <c r="EH71" i="11"/>
  <c r="DW32" i="15" s="1"/>
  <c r="EH49" i="11"/>
  <c r="EH83" i="11"/>
  <c r="DW38" i="15" s="1"/>
  <c r="EH6" i="7"/>
  <c r="EH23" i="11"/>
  <c r="DW8" i="15" s="1"/>
  <c r="EH46" i="11"/>
  <c r="EH65" i="11"/>
  <c r="DW29" i="15" s="1"/>
  <c r="EH13" i="12"/>
  <c r="EH52" i="11"/>
  <c r="EG6" i="8"/>
  <c r="EG40" i="11"/>
  <c r="EG25" i="11"/>
  <c r="EG67" i="11"/>
  <c r="EG73" i="11"/>
  <c r="EG7" i="11"/>
  <c r="EF11" i="11"/>
  <c r="DU2" i="15" s="1"/>
  <c r="EF34" i="11"/>
  <c r="EF31" i="11"/>
  <c r="EF49" i="11"/>
  <c r="EF77" i="11"/>
  <c r="DU35" i="15" s="1"/>
  <c r="EF6" i="8"/>
  <c r="EF10" i="11"/>
  <c r="EF61" i="11"/>
  <c r="EF55" i="11"/>
  <c r="EF6" i="4"/>
  <c r="EF7" i="11"/>
  <c r="EF29" i="11"/>
  <c r="DU11" i="15" s="1"/>
  <c r="EF64" i="11"/>
  <c r="EF70" i="11"/>
  <c r="EF22" i="11"/>
  <c r="EF53" i="11"/>
  <c r="DU23" i="15" s="1"/>
  <c r="EF6" i="6"/>
  <c r="EF59" i="11"/>
  <c r="DU26" i="15" s="1"/>
  <c r="EF13" i="12"/>
  <c r="EE6" i="5"/>
  <c r="EE6" i="8"/>
  <c r="EE23" i="11"/>
  <c r="DT8" i="15" s="1"/>
  <c r="EE19" i="11"/>
  <c r="EE31" i="11"/>
  <c r="EE49" i="11"/>
  <c r="EE41" i="11"/>
  <c r="DT17" i="15" s="1"/>
  <c r="EE58" i="11"/>
  <c r="EE61" i="11"/>
  <c r="EE52" i="11"/>
  <c r="EE55" i="11"/>
  <c r="G127" i="14"/>
  <c r="F127" i="14"/>
  <c r="F122" i="14"/>
  <c r="DV8" i="11"/>
  <c r="DL3" i="15" s="1"/>
  <c r="EI50" i="11"/>
  <c r="DX24" i="15" s="1"/>
  <c r="EI56" i="11"/>
  <c r="DX27" i="15" s="1"/>
  <c r="EI14" i="11"/>
  <c r="DX6" i="15" s="1"/>
  <c r="EH47" i="11"/>
  <c r="DW20" i="15" s="1"/>
  <c r="EH79" i="11"/>
  <c r="EH37" i="11"/>
  <c r="EH6" i="4"/>
  <c r="EF47" i="11"/>
  <c r="DU20" i="15" s="1"/>
  <c r="BP6" i="3"/>
  <c r="BP6" i="7"/>
  <c r="BP17" i="11"/>
  <c r="BJ5" i="15" s="1"/>
  <c r="BP22" i="11"/>
  <c r="BP41" i="11"/>
  <c r="BJ17" i="15" s="1"/>
  <c r="BP28" i="11"/>
  <c r="BP61" i="11"/>
  <c r="BP64" i="11"/>
  <c r="BP65" i="11"/>
  <c r="BJ29" i="15" s="1"/>
  <c r="BP46" i="11"/>
  <c r="BP13" i="12"/>
  <c r="BP6" i="5"/>
  <c r="BP6" i="9"/>
  <c r="BP16" i="11"/>
  <c r="BP10" i="11"/>
  <c r="BP37" i="11"/>
  <c r="BP40" i="11"/>
  <c r="BP23" i="11"/>
  <c r="BJ8" i="15" s="1"/>
  <c r="BP49" i="11"/>
  <c r="BP53" i="11"/>
  <c r="BJ23" i="15" s="1"/>
  <c r="BP77" i="11"/>
  <c r="BJ35" i="15" s="1"/>
  <c r="BP70" i="11"/>
  <c r="DR6" i="4"/>
  <c r="DR6" i="7"/>
  <c r="DR22" i="11"/>
  <c r="DR25" i="11"/>
  <c r="DR46" i="11"/>
  <c r="DR40" i="11"/>
  <c r="DR77" i="11"/>
  <c r="DH35" i="15" s="1"/>
  <c r="DR82" i="11"/>
  <c r="DR6" i="6"/>
  <c r="DR7" i="11"/>
  <c r="DR13" i="11"/>
  <c r="DR19" i="11"/>
  <c r="DR29" i="11"/>
  <c r="DH11" i="15" s="1"/>
  <c r="DR37" i="11"/>
  <c r="DR65" i="11"/>
  <c r="DH29" i="15" s="1"/>
  <c r="DR58" i="11"/>
  <c r="DR59" i="11"/>
  <c r="DH26" i="15" s="1"/>
  <c r="DQ7" i="11"/>
  <c r="DQ35" i="11"/>
  <c r="DG14" i="15" s="1"/>
  <c r="DQ43" i="11"/>
  <c r="DQ76" i="11"/>
  <c r="DQ46" i="11"/>
  <c r="DQ10" i="11"/>
  <c r="DQ11" i="11"/>
  <c r="DG2" i="15" s="1"/>
  <c r="DQ52" i="11"/>
  <c r="DQ71" i="11"/>
  <c r="DG32" i="15" s="1"/>
  <c r="DQ6" i="4"/>
  <c r="DQ25" i="11"/>
  <c r="DQ13" i="11"/>
  <c r="DQ67" i="11"/>
  <c r="DQ13" i="12"/>
  <c r="DP6" i="6"/>
  <c r="DP7" i="11"/>
  <c r="DP28" i="11"/>
  <c r="DP61" i="11"/>
  <c r="DP53" i="11"/>
  <c r="DF23" i="15" s="1"/>
  <c r="DP58" i="11"/>
  <c r="DP83" i="11"/>
  <c r="DF38" i="15" s="1"/>
  <c r="DP13" i="11"/>
  <c r="DP29" i="11"/>
  <c r="DF11" i="15" s="1"/>
  <c r="DP49" i="11"/>
  <c r="DP79" i="11"/>
  <c r="DP6" i="8"/>
  <c r="DP34" i="11"/>
  <c r="DP59" i="11"/>
  <c r="DF26" i="15" s="1"/>
  <c r="DP55" i="11"/>
  <c r="DP82" i="11"/>
  <c r="DM6" i="3"/>
  <c r="DM6" i="7"/>
  <c r="DM17" i="11"/>
  <c r="DD5" i="15" s="1"/>
  <c r="DM11" i="11"/>
  <c r="DD2" i="15" s="1"/>
  <c r="DM37" i="11"/>
  <c r="DM16" i="11"/>
  <c r="DM29" i="11"/>
  <c r="DD11" i="15" s="1"/>
  <c r="DM64" i="11"/>
  <c r="DM55" i="11"/>
  <c r="DM79" i="11"/>
  <c r="DM47" i="11"/>
  <c r="DD20" i="15" s="1"/>
  <c r="DM71" i="11"/>
  <c r="DD32" i="15" s="1"/>
  <c r="DM13" i="12"/>
  <c r="DM6" i="6"/>
  <c r="DM19" i="11"/>
  <c r="DM13" i="11"/>
  <c r="DM28" i="11"/>
  <c r="DM31" i="11"/>
  <c r="DM53" i="11"/>
  <c r="DD23" i="15" s="1"/>
  <c r="DM77" i="11"/>
  <c r="DD35" i="15" s="1"/>
  <c r="DM49" i="11"/>
  <c r="DM73" i="11"/>
  <c r="DM6" i="4"/>
  <c r="DM6" i="9"/>
  <c r="DM22" i="11"/>
  <c r="DM23" i="11"/>
  <c r="DD8" i="15" s="1"/>
  <c r="DM41" i="11"/>
  <c r="DD17" i="15" s="1"/>
  <c r="DM52" i="11"/>
  <c r="DM65" i="11"/>
  <c r="DD29" i="15" s="1"/>
  <c r="DM58" i="11"/>
  <c r="DM61" i="11"/>
  <c r="DM82" i="11"/>
  <c r="BS62" i="11"/>
  <c r="BM30" i="15" s="1"/>
  <c r="BS44" i="11"/>
  <c r="BM21" i="15" s="1"/>
  <c r="BS68" i="11"/>
  <c r="BM33" i="15" s="1"/>
  <c r="BS38" i="11"/>
  <c r="BM18" i="15" s="1"/>
  <c r="BS20" i="11"/>
  <c r="BM9" i="15" s="1"/>
  <c r="BS14" i="11"/>
  <c r="BM6" i="15" s="1"/>
  <c r="DS62" i="11"/>
  <c r="DI30" i="15" s="1"/>
  <c r="DS38" i="11"/>
  <c r="DI18" i="15" s="1"/>
  <c r="DS14" i="11"/>
  <c r="DI6" i="15" s="1"/>
  <c r="BM83" i="11"/>
  <c r="BH38" i="15" s="1"/>
  <c r="BM58" i="11"/>
  <c r="BM79" i="11"/>
  <c r="BM55" i="11"/>
  <c r="BM64" i="11"/>
  <c r="BM29" i="11"/>
  <c r="BH11" i="15" s="1"/>
  <c r="BM37" i="11"/>
  <c r="BM11" i="11"/>
  <c r="BH2" i="15" s="1"/>
  <c r="BM10" i="11"/>
  <c r="BM7" i="11"/>
  <c r="DL70" i="11"/>
  <c r="DL77" i="11"/>
  <c r="DC35" i="15" s="1"/>
  <c r="DL52" i="11"/>
  <c r="DL61" i="11"/>
  <c r="DL28" i="11"/>
  <c r="DL40" i="11"/>
  <c r="DL37" i="11"/>
  <c r="DL10" i="11"/>
  <c r="DL16" i="11"/>
  <c r="DL6" i="8"/>
  <c r="DR76" i="11"/>
  <c r="DR70" i="11"/>
  <c r="DR53" i="11"/>
  <c r="DH23" i="15" s="1"/>
  <c r="DR31" i="11"/>
  <c r="DR23" i="11"/>
  <c r="DH8" i="15" s="1"/>
  <c r="DR6" i="9"/>
  <c r="BP58" i="11"/>
  <c r="BP76" i="11"/>
  <c r="BP47" i="11"/>
  <c r="BJ20" i="15" s="1"/>
  <c r="BP31" i="11"/>
  <c r="BP19" i="11"/>
  <c r="BP6" i="8"/>
  <c r="DM70" i="11"/>
  <c r="DM76" i="11"/>
  <c r="DM25" i="11"/>
  <c r="DM7" i="11"/>
  <c r="DP13" i="12"/>
  <c r="DP47" i="11"/>
  <c r="DF20" i="15" s="1"/>
  <c r="DP11" i="11"/>
  <c r="DF2" i="15" s="1"/>
  <c r="DQ40" i="11"/>
  <c r="DQ6" i="8"/>
  <c r="F85" i="14"/>
  <c r="G85" i="14"/>
  <c r="H79" i="14"/>
  <c r="BV6" i="7"/>
  <c r="BV25" i="11"/>
  <c r="BV34" i="11"/>
  <c r="BV65" i="11"/>
  <c r="BP29" i="15" s="1"/>
  <c r="BV59" i="11"/>
  <c r="BP26" i="15" s="1"/>
  <c r="BV76" i="11"/>
  <c r="AP62" i="11"/>
  <c r="AL30" i="15" s="1"/>
  <c r="F44" i="14"/>
  <c r="F124" i="14"/>
  <c r="G124" i="14"/>
  <c r="CV46" i="11"/>
  <c r="CV73" i="11"/>
  <c r="CV25" i="11"/>
  <c r="CV29" i="11"/>
  <c r="CN11" i="15" s="1"/>
  <c r="CV13" i="11"/>
  <c r="H43" i="14"/>
  <c r="H19" i="14"/>
  <c r="AO14" i="12"/>
  <c r="AP14" i="12" s="1"/>
  <c r="AQ14" i="12" s="1"/>
  <c r="AR14" i="12" s="1"/>
  <c r="AS14" i="12" s="1"/>
  <c r="AT14" i="12" s="1"/>
  <c r="AU14" i="12" s="1"/>
  <c r="AV14" i="12" s="1"/>
  <c r="AW14" i="12" s="1"/>
  <c r="AX14" i="12" s="1"/>
  <c r="AY14" i="12" s="1"/>
  <c r="AZ14" i="12" s="1"/>
  <c r="AN14" i="12"/>
  <c r="N17" i="3"/>
  <c r="EA15" i="6"/>
  <c r="DA9" i="8"/>
  <c r="DA17" i="6"/>
  <c r="DN9" i="8"/>
  <c r="N17" i="6"/>
  <c r="B9" i="7"/>
  <c r="AN7" i="8"/>
  <c r="EG13" i="12"/>
  <c r="EG58" i="11"/>
  <c r="EG52" i="11"/>
  <c r="EG31" i="11"/>
  <c r="EG37" i="11"/>
  <c r="EG10" i="11"/>
  <c r="EG6" i="4"/>
  <c r="G121" i="14"/>
  <c r="G136" i="14"/>
  <c r="F103" i="14"/>
  <c r="H103" i="14"/>
  <c r="F42" i="14"/>
  <c r="G22" i="14"/>
  <c r="G13" i="14"/>
  <c r="C7" i="4"/>
  <c r="B11" i="6"/>
  <c r="DT17" i="6"/>
  <c r="DT9" i="8"/>
  <c r="CJ9" i="8"/>
  <c r="CJ17" i="6"/>
  <c r="EN19" i="3"/>
  <c r="EN9" i="8"/>
  <c r="CN9" i="8"/>
  <c r="CG9" i="8"/>
  <c r="CA19" i="3"/>
  <c r="CA9" i="8"/>
  <c r="AY6" i="6"/>
  <c r="AY10" i="11"/>
  <c r="AY13" i="11"/>
  <c r="AY16" i="11"/>
  <c r="AY37" i="11"/>
  <c r="AY35" i="11"/>
  <c r="AU14" i="15" s="1"/>
  <c r="AY41" i="11"/>
  <c r="AU17" i="15" s="1"/>
  <c r="AY46" i="11"/>
  <c r="AY59" i="11"/>
  <c r="AU26" i="15" s="1"/>
  <c r="AY64" i="11"/>
  <c r="AY55" i="11"/>
  <c r="AY77" i="11"/>
  <c r="AU35" i="15" s="1"/>
  <c r="AY82" i="11"/>
  <c r="AY6" i="5"/>
  <c r="AY6" i="8"/>
  <c r="AY25" i="11"/>
  <c r="AY29" i="11"/>
  <c r="AU11" i="15" s="1"/>
  <c r="AY28" i="11"/>
  <c r="AY49" i="11"/>
  <c r="AY22" i="11"/>
  <c r="AY19" i="11"/>
  <c r="AY52" i="11"/>
  <c r="AY71" i="11"/>
  <c r="AU32" i="15" s="1"/>
  <c r="AY67" i="11"/>
  <c r="AY13" i="12"/>
  <c r="B22" i="15"/>
  <c r="CR9" i="8"/>
  <c r="AD7" i="8"/>
  <c r="DJ15" i="6"/>
  <c r="Y7" i="8"/>
  <c r="DA7" i="8"/>
  <c r="DI7" i="8"/>
  <c r="CN15" i="6"/>
  <c r="DG7" i="8"/>
  <c r="AB7" i="8"/>
  <c r="CV7" i="8"/>
  <c r="CM7" i="8"/>
  <c r="C9" i="4"/>
  <c r="AA9" i="8"/>
  <c r="CA17" i="6"/>
  <c r="EA19" i="3"/>
  <c r="I46" i="11"/>
  <c r="I65" i="11"/>
  <c r="H29" i="15" s="1"/>
  <c r="I13" i="11"/>
  <c r="I35" i="11"/>
  <c r="H14" i="15" s="1"/>
  <c r="AN70" i="11"/>
  <c r="AN73" i="11"/>
  <c r="AN52" i="11"/>
  <c r="T70" i="11"/>
  <c r="T65" i="11"/>
  <c r="R29" i="15" s="1"/>
  <c r="T71" i="11"/>
  <c r="R32" i="15" s="1"/>
  <c r="T43" i="11"/>
  <c r="T29" i="11"/>
  <c r="R11" i="15" s="1"/>
  <c r="T10" i="11"/>
  <c r="AN19" i="3"/>
  <c r="CN19" i="3"/>
  <c r="R15" i="6"/>
  <c r="CH15" i="6"/>
  <c r="AC15" i="6"/>
  <c r="CS15" i="6"/>
  <c r="BC17" i="6"/>
  <c r="DS17" i="6"/>
  <c r="EL17" i="6"/>
  <c r="BU17" i="6"/>
  <c r="EK17" i="6"/>
  <c r="BX9" i="8"/>
  <c r="AN17" i="6"/>
  <c r="BA17" i="6"/>
  <c r="AR17" i="6"/>
  <c r="DN17" i="6"/>
  <c r="DB17" i="6"/>
  <c r="CL9" i="8"/>
  <c r="CL17" i="6"/>
  <c r="BN17" i="6"/>
  <c r="BN19" i="3"/>
  <c r="BN9" i="8"/>
  <c r="N19" i="3"/>
  <c r="N9" i="8"/>
  <c r="B9" i="8"/>
  <c r="EN17" i="3"/>
  <c r="EN15" i="6"/>
  <c r="BA17" i="3"/>
  <c r="BA7" i="8"/>
  <c r="T6" i="4"/>
  <c r="T6" i="8"/>
  <c r="T22" i="11"/>
  <c r="T23" i="11"/>
  <c r="R8" i="15" s="1"/>
  <c r="T31" i="11"/>
  <c r="T41" i="11"/>
  <c r="R17" i="15" s="1"/>
  <c r="T47" i="11"/>
  <c r="R20" i="15" s="1"/>
  <c r="T73" i="11"/>
  <c r="T67" i="11"/>
  <c r="T46" i="11"/>
  <c r="T13" i="12"/>
  <c r="T6" i="3"/>
  <c r="T6" i="7"/>
  <c r="T11" i="11"/>
  <c r="R2" i="15" s="1"/>
  <c r="T17" i="11"/>
  <c r="R5" i="15" s="1"/>
  <c r="T34" i="11"/>
  <c r="T37" i="11"/>
  <c r="T40" i="11"/>
  <c r="T28" i="11"/>
  <c r="T59" i="11"/>
  <c r="R26" i="15" s="1"/>
  <c r="T53" i="11"/>
  <c r="R23" i="15" s="1"/>
  <c r="T79" i="11"/>
  <c r="T82" i="11"/>
  <c r="AN6" i="4"/>
  <c r="AN6" i="8"/>
  <c r="AN7" i="11"/>
  <c r="AN34" i="11"/>
  <c r="AN43" i="11"/>
  <c r="AN46" i="11"/>
  <c r="AN64" i="11"/>
  <c r="AN79" i="11"/>
  <c r="AN13" i="12"/>
  <c r="AN6" i="3"/>
  <c r="AN6" i="7"/>
  <c r="AN16" i="11"/>
  <c r="AN25" i="11"/>
  <c r="AN28" i="11"/>
  <c r="AN40" i="11"/>
  <c r="AN49" i="11"/>
  <c r="AN67" i="11"/>
  <c r="AN82" i="11"/>
  <c r="CU7" i="8"/>
  <c r="CU15" i="6"/>
  <c r="BO7" i="8"/>
  <c r="CA15" i="6"/>
  <c r="DD7" i="8"/>
  <c r="DN17" i="3"/>
  <c r="DN7" i="8"/>
  <c r="EA17" i="3"/>
  <c r="EA7" i="8"/>
  <c r="DO7" i="8"/>
  <c r="AU7" i="8"/>
  <c r="AU15" i="6"/>
  <c r="O7" i="8"/>
  <c r="AA15" i="6"/>
  <c r="BN17" i="3"/>
  <c r="BN7" i="8"/>
  <c r="BD15" i="6"/>
  <c r="I6" i="3"/>
  <c r="I6" i="7"/>
  <c r="I17" i="11"/>
  <c r="H5" i="15" s="1"/>
  <c r="I22" i="11"/>
  <c r="I16" i="11"/>
  <c r="I28" i="11"/>
  <c r="I43" i="11"/>
  <c r="I31" i="11"/>
  <c r="I47" i="11"/>
  <c r="H20" i="15" s="1"/>
  <c r="I76" i="11"/>
  <c r="I55" i="11"/>
  <c r="I77" i="11"/>
  <c r="H35" i="15" s="1"/>
  <c r="I70" i="11"/>
  <c r="I61" i="11"/>
  <c r="I83" i="11"/>
  <c r="H38" i="15" s="1"/>
  <c r="I6" i="6"/>
  <c r="I6" i="9"/>
  <c r="I10" i="11"/>
  <c r="I25" i="11"/>
  <c r="I37" i="11"/>
  <c r="I64" i="11"/>
  <c r="I67" i="11"/>
  <c r="I58" i="11"/>
  <c r="I73" i="11"/>
  <c r="I13" i="12"/>
  <c r="AN55" i="11"/>
  <c r="AN31" i="11"/>
  <c r="AN22" i="11"/>
  <c r="AN6" i="6"/>
  <c r="T76" i="11"/>
  <c r="T49" i="11"/>
  <c r="T25" i="11"/>
  <c r="T16" i="11"/>
  <c r="T6" i="6"/>
  <c r="BA19" i="3"/>
  <c r="DA19" i="3"/>
  <c r="AN9" i="8"/>
  <c r="I17" i="6"/>
  <c r="CM17" i="6"/>
  <c r="V17" i="6"/>
  <c r="DN19" i="3"/>
  <c r="AK17" i="6"/>
  <c r="DE17" i="6"/>
  <c r="AR9" i="8"/>
  <c r="DX17" i="6"/>
  <c r="N15" i="6"/>
  <c r="D9" i="3"/>
  <c r="D7" i="9" s="1"/>
  <c r="T9" i="3"/>
  <c r="T7" i="9" s="1"/>
  <c r="AJ9" i="3"/>
  <c r="AJ7" i="9" s="1"/>
  <c r="BD9" i="3"/>
  <c r="BD7" i="9" s="1"/>
  <c r="BT9" i="3"/>
  <c r="BT7" i="9" s="1"/>
  <c r="CJ9" i="3"/>
  <c r="CJ7" i="9" s="1"/>
  <c r="DD9" i="3"/>
  <c r="DD7" i="9" s="1"/>
  <c r="DT9" i="3"/>
  <c r="DT7" i="9" s="1"/>
  <c r="EJ9" i="3"/>
  <c r="EJ7" i="9" s="1"/>
  <c r="O9" i="3"/>
  <c r="AE9" i="3"/>
  <c r="AE7" i="9" s="1"/>
  <c r="AY9" i="3"/>
  <c r="AY7" i="9" s="1"/>
  <c r="BK9" i="3"/>
  <c r="BK7" i="9" s="1"/>
  <c r="CE9" i="3"/>
  <c r="CE7" i="9" s="1"/>
  <c r="CU9" i="3"/>
  <c r="CU7" i="9" s="1"/>
  <c r="DK9" i="3"/>
  <c r="DK7" i="9" s="1"/>
  <c r="EE9" i="3"/>
  <c r="F9" i="3"/>
  <c r="F7" i="9" s="1"/>
  <c r="V9" i="3"/>
  <c r="V7" i="9" s="1"/>
  <c r="AL9" i="3"/>
  <c r="AL7" i="9" s="1"/>
  <c r="BB9" i="3"/>
  <c r="BR9" i="3"/>
  <c r="BR7" i="9" s="1"/>
  <c r="CH9" i="3"/>
  <c r="CH7" i="9" s="1"/>
  <c r="CX9" i="3"/>
  <c r="CX7" i="9" s="1"/>
  <c r="DZ9" i="3"/>
  <c r="DZ7" i="9" s="1"/>
  <c r="EL9" i="3"/>
  <c r="EL7" i="9" s="1"/>
  <c r="U9" i="3"/>
  <c r="U7" i="9" s="1"/>
  <c r="AK9" i="3"/>
  <c r="AK7" i="9" s="1"/>
  <c r="CC9" i="3"/>
  <c r="CS9" i="3"/>
  <c r="CS7" i="9" s="1"/>
  <c r="DM9" i="3"/>
  <c r="DM7" i="9" s="1"/>
  <c r="DY9" i="3"/>
  <c r="DY7" i="9" s="1"/>
  <c r="EK9" i="3"/>
  <c r="EK7" i="9" s="1"/>
  <c r="M11" i="7"/>
  <c r="M9" i="9" s="1"/>
  <c r="AC11" i="7"/>
  <c r="AC9" i="9" s="1"/>
  <c r="AS11" i="7"/>
  <c r="AS9" i="9" s="1"/>
  <c r="BM11" i="7"/>
  <c r="BM9" i="9" s="1"/>
  <c r="CC11" i="7"/>
  <c r="CC9" i="9" s="1"/>
  <c r="CS11" i="7"/>
  <c r="CS9" i="9" s="1"/>
  <c r="DM11" i="7"/>
  <c r="DM9" i="9" s="1"/>
  <c r="EC11" i="7"/>
  <c r="EC9" i="9" s="1"/>
  <c r="H11" i="7"/>
  <c r="H9" i="9" s="1"/>
  <c r="X11" i="7"/>
  <c r="X9" i="9" s="1"/>
  <c r="AR11" i="7"/>
  <c r="AR9" i="9" s="1"/>
  <c r="BH11" i="7"/>
  <c r="BH9" i="9" s="1"/>
  <c r="BX11" i="7"/>
  <c r="BX9" i="9" s="1"/>
  <c r="CR11" i="7"/>
  <c r="CR9" i="9" s="1"/>
  <c r="DH11" i="7"/>
  <c r="DH9" i="9" s="1"/>
  <c r="DX11" i="7"/>
  <c r="DX9" i="9" s="1"/>
  <c r="C11" i="7"/>
  <c r="C9" i="9" s="1"/>
  <c r="S11" i="7"/>
  <c r="S9" i="9" s="1"/>
  <c r="AM11" i="7"/>
  <c r="AM9" i="9" s="1"/>
  <c r="BC11" i="7"/>
  <c r="BC9" i="9" s="1"/>
  <c r="BS11" i="7"/>
  <c r="BS9" i="9" s="1"/>
  <c r="CM11" i="7"/>
  <c r="CM9" i="9" s="1"/>
  <c r="DC11" i="7"/>
  <c r="DC9" i="9" s="1"/>
  <c r="DS11" i="7"/>
  <c r="EM11" i="7"/>
  <c r="EM9" i="9" s="1"/>
  <c r="R11" i="7"/>
  <c r="R9" i="9" s="1"/>
  <c r="AH11" i="7"/>
  <c r="AH9" i="9" s="1"/>
  <c r="AX11" i="7"/>
  <c r="AX9" i="9" s="1"/>
  <c r="BR11" i="7"/>
  <c r="BR9" i="9" s="1"/>
  <c r="CL11" i="7"/>
  <c r="CL9" i="9" s="1"/>
  <c r="DB11" i="7"/>
  <c r="DB9" i="9" s="1"/>
  <c r="DV11" i="7"/>
  <c r="DV9" i="9" s="1"/>
  <c r="EH11" i="7"/>
  <c r="EH9" i="9" s="1"/>
  <c r="P9" i="3"/>
  <c r="P7" i="9" s="1"/>
  <c r="AF9" i="3"/>
  <c r="AF7" i="9" s="1"/>
  <c r="AZ9" i="3"/>
  <c r="AZ7" i="9" s="1"/>
  <c r="BP9" i="3"/>
  <c r="BP7" i="9" s="1"/>
  <c r="CF9" i="3"/>
  <c r="CF7" i="9" s="1"/>
  <c r="CZ9" i="3"/>
  <c r="CZ7" i="9" s="1"/>
  <c r="DP9" i="3"/>
  <c r="DP7" i="9" s="1"/>
  <c r="EF9" i="3"/>
  <c r="EF7" i="9" s="1"/>
  <c r="K9" i="3"/>
  <c r="K7" i="9" s="1"/>
  <c r="W9" i="3"/>
  <c r="W7" i="9" s="1"/>
  <c r="AM9" i="3"/>
  <c r="AM7" i="9" s="1"/>
  <c r="BG9" i="3"/>
  <c r="BG7" i="9" s="1"/>
  <c r="BW9" i="3"/>
  <c r="BW7" i="9" s="1"/>
  <c r="CQ9" i="3"/>
  <c r="CQ7" i="9" s="1"/>
  <c r="DG9" i="3"/>
  <c r="DG7" i="9" s="1"/>
  <c r="DW9" i="3"/>
  <c r="DW7" i="9" s="1"/>
  <c r="B9" i="3"/>
  <c r="R9" i="3"/>
  <c r="R7" i="9" s="1"/>
  <c r="AH9" i="3"/>
  <c r="AH7" i="9" s="1"/>
  <c r="AX9" i="3"/>
  <c r="AX7" i="9" s="1"/>
  <c r="BJ9" i="3"/>
  <c r="BJ7" i="9" s="1"/>
  <c r="CD9" i="3"/>
  <c r="CD7" i="9" s="1"/>
  <c r="CT9" i="3"/>
  <c r="CT7" i="9" s="1"/>
  <c r="DJ9" i="3"/>
  <c r="DJ7" i="9" s="1"/>
  <c r="EH9" i="3"/>
  <c r="EH7" i="9" s="1"/>
  <c r="I9" i="3"/>
  <c r="I7" i="9" s="1"/>
  <c r="AG9" i="3"/>
  <c r="AG7" i="9" s="1"/>
  <c r="AW9" i="3"/>
  <c r="AW7" i="9" s="1"/>
  <c r="BM9" i="3"/>
  <c r="BM7" i="9" s="1"/>
  <c r="BY9" i="3"/>
  <c r="BY7" i="9" s="1"/>
  <c r="CO9" i="3"/>
  <c r="CO7" i="9" s="1"/>
  <c r="DI9" i="3"/>
  <c r="DI7" i="9" s="1"/>
  <c r="DU9" i="3"/>
  <c r="DU7" i="9" s="1"/>
  <c r="EG9" i="3"/>
  <c r="EG7" i="9" s="1"/>
  <c r="I11" i="7"/>
  <c r="I9" i="9" s="1"/>
  <c r="Y11" i="7"/>
  <c r="Y9" i="9" s="1"/>
  <c r="AO11" i="7"/>
  <c r="BI11" i="7"/>
  <c r="BI9" i="9" s="1"/>
  <c r="BY11" i="7"/>
  <c r="BY9" i="9" s="1"/>
  <c r="CO11" i="7"/>
  <c r="CO9" i="9" s="1"/>
  <c r="DI11" i="7"/>
  <c r="DI9" i="9" s="1"/>
  <c r="DY11" i="7"/>
  <c r="DY9" i="9" s="1"/>
  <c r="D11" i="7"/>
  <c r="D9" i="9" s="1"/>
  <c r="T11" i="7"/>
  <c r="T9" i="9" s="1"/>
  <c r="AJ11" i="7"/>
  <c r="AJ9" i="9" s="1"/>
  <c r="BD11" i="7"/>
  <c r="BD9" i="9" s="1"/>
  <c r="BT11" i="7"/>
  <c r="BT9" i="9" s="1"/>
  <c r="CJ11" i="7"/>
  <c r="CJ9" i="9" s="1"/>
  <c r="DD11" i="7"/>
  <c r="DD9" i="9" s="1"/>
  <c r="DT11" i="7"/>
  <c r="DT9" i="9" s="1"/>
  <c r="EJ11" i="7"/>
  <c r="EJ9" i="9" s="1"/>
  <c r="O11" i="7"/>
  <c r="O9" i="9" s="1"/>
  <c r="AI11" i="7"/>
  <c r="AI9" i="9" s="1"/>
  <c r="AY11" i="7"/>
  <c r="AY9" i="9" s="1"/>
  <c r="BO11" i="7"/>
  <c r="BO9" i="9" s="1"/>
  <c r="CI11" i="7"/>
  <c r="CI9" i="9" s="1"/>
  <c r="CY11" i="7"/>
  <c r="CY9" i="9" s="1"/>
  <c r="DO11" i="7"/>
  <c r="DO9" i="9" s="1"/>
  <c r="EI11" i="7"/>
  <c r="EI9" i="9" s="1"/>
  <c r="J11" i="7"/>
  <c r="J9" i="9" s="1"/>
  <c r="AD11" i="7"/>
  <c r="AD9" i="9" s="1"/>
  <c r="AT11" i="7"/>
  <c r="AT9" i="9" s="1"/>
  <c r="BJ11" i="7"/>
  <c r="BJ9" i="9" s="1"/>
  <c r="BZ11" i="7"/>
  <c r="BZ9" i="9" s="1"/>
  <c r="CX11" i="7"/>
  <c r="CX9" i="9" s="1"/>
  <c r="DR11" i="7"/>
  <c r="DR9" i="9" s="1"/>
  <c r="ED11" i="7"/>
  <c r="ED9" i="9" s="1"/>
  <c r="BE6" i="3"/>
  <c r="BE6" i="7"/>
  <c r="BE17" i="11"/>
  <c r="AZ5" i="15" s="1"/>
  <c r="BE22" i="11"/>
  <c r="BE16" i="11"/>
  <c r="BE28" i="11"/>
  <c r="BE31" i="11"/>
  <c r="BE47" i="11"/>
  <c r="AZ20" i="15" s="1"/>
  <c r="BE76" i="11"/>
  <c r="BE55" i="11"/>
  <c r="BE77" i="11"/>
  <c r="AZ35" i="15" s="1"/>
  <c r="BE70" i="11"/>
  <c r="BE61" i="11"/>
  <c r="BE83" i="11"/>
  <c r="AZ38" i="15" s="1"/>
  <c r="BE6" i="6"/>
  <c r="BE6" i="9"/>
  <c r="BE10" i="11"/>
  <c r="BE25" i="11"/>
  <c r="BE37" i="11"/>
  <c r="BE41" i="11"/>
  <c r="AZ17" i="15" s="1"/>
  <c r="BE40" i="11"/>
  <c r="BE64" i="11"/>
  <c r="BE67" i="11"/>
  <c r="BE58" i="11"/>
  <c r="BE73" i="11"/>
  <c r="BE13" i="12"/>
  <c r="CR17" i="6"/>
  <c r="CD15" i="6"/>
  <c r="CO7" i="8"/>
  <c r="AV7" i="8"/>
  <c r="CN17" i="3"/>
  <c r="AM7" i="8"/>
  <c r="AB15" i="6"/>
  <c r="AA17" i="6"/>
  <c r="EA9" i="8"/>
  <c r="I79" i="11"/>
  <c r="I53" i="11"/>
  <c r="H23" i="15" s="1"/>
  <c r="I11" i="11"/>
  <c r="H2" i="15" s="1"/>
  <c r="I41" i="11"/>
  <c r="H17" i="15" s="1"/>
  <c r="I7" i="11"/>
  <c r="AN58" i="11"/>
  <c r="AN61" i="11"/>
  <c r="AN37" i="11"/>
  <c r="AN6" i="9"/>
  <c r="T58" i="11"/>
  <c r="T55" i="11"/>
  <c r="T61" i="11"/>
  <c r="T19" i="11"/>
  <c r="T6" i="9"/>
  <c r="N7" i="8"/>
  <c r="DN15" i="6"/>
  <c r="CN17" i="6"/>
  <c r="AH7" i="8"/>
  <c r="CX7" i="8"/>
  <c r="AS7" i="8"/>
  <c r="DM7" i="8"/>
  <c r="CJ15" i="6"/>
  <c r="AA17" i="3"/>
  <c r="DO15" i="6"/>
  <c r="EJ7" i="8"/>
  <c r="CA17" i="3"/>
  <c r="B17" i="6"/>
  <c r="BS9" i="8"/>
  <c r="EM9" i="8"/>
  <c r="BB17" i="6"/>
  <c r="DB9" i="8"/>
  <c r="U9" i="8"/>
  <c r="CK9" i="8"/>
  <c r="X9" i="8"/>
  <c r="DH9" i="8"/>
  <c r="EG71" i="11"/>
  <c r="DV32" i="15" s="1"/>
  <c r="EG76" i="11"/>
  <c r="EG11" i="11"/>
  <c r="DV2" i="15" s="1"/>
  <c r="EG41" i="11"/>
  <c r="DV17" i="15" s="1"/>
  <c r="EG23" i="11"/>
  <c r="DV8" i="15" s="1"/>
  <c r="EG6" i="6"/>
  <c r="EG6" i="9"/>
  <c r="EG19" i="11"/>
  <c r="EG49" i="11"/>
  <c r="EG53" i="11"/>
  <c r="DV23" i="15" s="1"/>
  <c r="EG79" i="11"/>
  <c r="EG59" i="11"/>
  <c r="DV26" i="15" s="1"/>
  <c r="EG82" i="11"/>
  <c r="EG6" i="3"/>
  <c r="EG6" i="7"/>
  <c r="EG17" i="11"/>
  <c r="DV5" i="15" s="1"/>
  <c r="EG22" i="11"/>
  <c r="EG16" i="11"/>
  <c r="EG28" i="11"/>
  <c r="EG13" i="11"/>
  <c r="EG34" i="11"/>
  <c r="EG47" i="11"/>
  <c r="DV20" i="15" s="1"/>
  <c r="EG64" i="11"/>
  <c r="EG55" i="11"/>
  <c r="EG77" i="11"/>
  <c r="DV35" i="15" s="1"/>
  <c r="EG70" i="11"/>
  <c r="EG61" i="11"/>
  <c r="EG83" i="11"/>
  <c r="DV38" i="15" s="1"/>
  <c r="EF6" i="3"/>
  <c r="EF6" i="7"/>
  <c r="EF17" i="11"/>
  <c r="DU5" i="15" s="1"/>
  <c r="EF23" i="11"/>
  <c r="DU8" i="15" s="1"/>
  <c r="EF35" i="11"/>
  <c r="DU14" i="15" s="1"/>
  <c r="EF40" i="11"/>
  <c r="EF43" i="11"/>
  <c r="EF46" i="11"/>
  <c r="EF71" i="11"/>
  <c r="DU32" i="15" s="1"/>
  <c r="EF76" i="11"/>
  <c r="EF65" i="11"/>
  <c r="DU29" i="15" s="1"/>
  <c r="EF82" i="11"/>
  <c r="EF6" i="5"/>
  <c r="EF6" i="9"/>
  <c r="EF16" i="11"/>
  <c r="EF19" i="11"/>
  <c r="EF25" i="11"/>
  <c r="EF37" i="11"/>
  <c r="EF41" i="11"/>
  <c r="DU17" i="15" s="1"/>
  <c r="EF73" i="11"/>
  <c r="EF52" i="11"/>
  <c r="EF67" i="11"/>
  <c r="EF58" i="11"/>
  <c r="EF83" i="11"/>
  <c r="DU38" i="15" s="1"/>
  <c r="DX6" i="5"/>
  <c r="DX6" i="9"/>
  <c r="DX16" i="11"/>
  <c r="DX19" i="11"/>
  <c r="DX41" i="11"/>
  <c r="DN17" i="15" s="1"/>
  <c r="DX61" i="11"/>
  <c r="DX52" i="11"/>
  <c r="DX53" i="11"/>
  <c r="DN23" i="15" s="1"/>
  <c r="DX79" i="11"/>
  <c r="DX58" i="11"/>
  <c r="DX83" i="11"/>
  <c r="DN38" i="15" s="1"/>
  <c r="DX6" i="3"/>
  <c r="DX6" i="7"/>
  <c r="DX17" i="11"/>
  <c r="DN5" i="15" s="1"/>
  <c r="DX10" i="11"/>
  <c r="DX34" i="11"/>
  <c r="DX40" i="11"/>
  <c r="DX43" i="11"/>
  <c r="DX59" i="11"/>
  <c r="DN26" i="15" s="1"/>
  <c r="DX76" i="11"/>
  <c r="DX55" i="11"/>
  <c r="DX77" i="11"/>
  <c r="DN35" i="15" s="1"/>
  <c r="DX82" i="11"/>
  <c r="DV6" i="3"/>
  <c r="DV6" i="9"/>
  <c r="DV10" i="11"/>
  <c r="DV13" i="11"/>
  <c r="DV28" i="11"/>
  <c r="DV46" i="11"/>
  <c r="DV34" i="11"/>
  <c r="DV47" i="11"/>
  <c r="DL20" i="15" s="1"/>
  <c r="DV67" i="11"/>
  <c r="DV43" i="11"/>
  <c r="DV13" i="12"/>
  <c r="DV71" i="11"/>
  <c r="DL32" i="15" s="1"/>
  <c r="DV64" i="11"/>
  <c r="DV6" i="5"/>
  <c r="DV6" i="8"/>
  <c r="DV11" i="11"/>
  <c r="DL2" i="15" s="1"/>
  <c r="DV19" i="11"/>
  <c r="DV35" i="11"/>
  <c r="DL14" i="15" s="1"/>
  <c r="DV41" i="11"/>
  <c r="DL17" i="15" s="1"/>
  <c r="DV49" i="11"/>
  <c r="DV65" i="11"/>
  <c r="DL29" i="15" s="1"/>
  <c r="DV70" i="11"/>
  <c r="DV73" i="11"/>
  <c r="DV83" i="11"/>
  <c r="DL38" i="15" s="1"/>
  <c r="DQ6" i="6"/>
  <c r="DQ6" i="9"/>
  <c r="DQ19" i="11"/>
  <c r="DQ29" i="11"/>
  <c r="DG11" i="15" s="1"/>
  <c r="DQ34" i="11"/>
  <c r="DQ49" i="11"/>
  <c r="DQ53" i="11"/>
  <c r="DG23" i="15" s="1"/>
  <c r="DQ79" i="11"/>
  <c r="DQ59" i="11"/>
  <c r="DG26" i="15" s="1"/>
  <c r="DQ82" i="11"/>
  <c r="DQ6" i="3"/>
  <c r="DQ6" i="7"/>
  <c r="DQ17" i="11"/>
  <c r="DG5" i="15" s="1"/>
  <c r="DQ22" i="11"/>
  <c r="DQ16" i="11"/>
  <c r="DQ28" i="11"/>
  <c r="DQ31" i="11"/>
  <c r="DQ47" i="11"/>
  <c r="DG20" i="15" s="1"/>
  <c r="DQ64" i="11"/>
  <c r="DQ55" i="11"/>
  <c r="DQ77" i="11"/>
  <c r="DG35" i="15" s="1"/>
  <c r="DQ70" i="11"/>
  <c r="DQ61" i="11"/>
  <c r="DQ83" i="11"/>
  <c r="DG38" i="15" s="1"/>
  <c r="DP6" i="3"/>
  <c r="DP6" i="7"/>
  <c r="DP17" i="11"/>
  <c r="DF5" i="15" s="1"/>
  <c r="DP23" i="11"/>
  <c r="DF8" i="15" s="1"/>
  <c r="DP35" i="11"/>
  <c r="DF14" i="15" s="1"/>
  <c r="DP10" i="11"/>
  <c r="DP43" i="11"/>
  <c r="DP46" i="11"/>
  <c r="DP71" i="11"/>
  <c r="DF32" i="15" s="1"/>
  <c r="DP76" i="11"/>
  <c r="DP65" i="11"/>
  <c r="DF29" i="15" s="1"/>
  <c r="DP6" i="5"/>
  <c r="DP6" i="9"/>
  <c r="DP16" i="11"/>
  <c r="DP19" i="11"/>
  <c r="DP25" i="11"/>
  <c r="DP37" i="11"/>
  <c r="DP41" i="11"/>
  <c r="DF17" i="15" s="1"/>
  <c r="DP73" i="11"/>
  <c r="DP52" i="11"/>
  <c r="DP67" i="11"/>
  <c r="BV6" i="3"/>
  <c r="BV6" i="9"/>
  <c r="BV10" i="11"/>
  <c r="BV13" i="11"/>
  <c r="BV16" i="11"/>
  <c r="BV28" i="11"/>
  <c r="BV46" i="11"/>
  <c r="BV43" i="11"/>
  <c r="BV55" i="11"/>
  <c r="BV77" i="11"/>
  <c r="BP35" i="15" s="1"/>
  <c r="BV70" i="11"/>
  <c r="BV73" i="11"/>
  <c r="BV64" i="11"/>
  <c r="BV6" i="5"/>
  <c r="BV6" i="8"/>
  <c r="BV11" i="11"/>
  <c r="BP2" i="15" s="1"/>
  <c r="BV17" i="11"/>
  <c r="BP5" i="15" s="1"/>
  <c r="BV37" i="11"/>
  <c r="BV41" i="11"/>
  <c r="BP17" i="15" s="1"/>
  <c r="BV53" i="11"/>
  <c r="BP23" i="15" s="1"/>
  <c r="BV79" i="11"/>
  <c r="BV13" i="12"/>
  <c r="BV71" i="11"/>
  <c r="BP32" i="15" s="1"/>
  <c r="BV83" i="11"/>
  <c r="BP38" i="15" s="1"/>
  <c r="F106" i="14"/>
  <c r="G106" i="14"/>
  <c r="DX49" i="11"/>
  <c r="DX65" i="11"/>
  <c r="DN29" i="15" s="1"/>
  <c r="DX73" i="11"/>
  <c r="DX29" i="11"/>
  <c r="DN11" i="15" s="1"/>
  <c r="DX35" i="11"/>
  <c r="DN14" i="15" s="1"/>
  <c r="DX6" i="8"/>
  <c r="EG46" i="11"/>
  <c r="EG65" i="11"/>
  <c r="DV29" i="15" s="1"/>
  <c r="EG29" i="11"/>
  <c r="DV11" i="15" s="1"/>
  <c r="EG35" i="11"/>
  <c r="DV14" i="15" s="1"/>
  <c r="EG6" i="5"/>
  <c r="CV6" i="5"/>
  <c r="CV6" i="9"/>
  <c r="CV16" i="11"/>
  <c r="CV19" i="11"/>
  <c r="CV35" i="11"/>
  <c r="CN14" i="15" s="1"/>
  <c r="CV41" i="11"/>
  <c r="CN17" i="15" s="1"/>
  <c r="CV61" i="11"/>
  <c r="CV64" i="11"/>
  <c r="CV55" i="11"/>
  <c r="CV77" i="11"/>
  <c r="CN35" i="15" s="1"/>
  <c r="CV58" i="11"/>
  <c r="CV83" i="11"/>
  <c r="CN38" i="15" s="1"/>
  <c r="CV6" i="3"/>
  <c r="CV6" i="7"/>
  <c r="CV17" i="11"/>
  <c r="CN5" i="15" s="1"/>
  <c r="CV34" i="11"/>
  <c r="CV37" i="11"/>
  <c r="CV40" i="11"/>
  <c r="CV43" i="11"/>
  <c r="CV28" i="11"/>
  <c r="CV59" i="11"/>
  <c r="CN26" i="15" s="1"/>
  <c r="CV53" i="11"/>
  <c r="CN23" i="15" s="1"/>
  <c r="CV79" i="11"/>
  <c r="CV82" i="11"/>
  <c r="G97" i="14"/>
  <c r="F97" i="14"/>
  <c r="CH6" i="3"/>
  <c r="CH6" i="9"/>
  <c r="CH10" i="11"/>
  <c r="CH13" i="11"/>
  <c r="CH28" i="11"/>
  <c r="CH46" i="11"/>
  <c r="CH34" i="11"/>
  <c r="CH43" i="11"/>
  <c r="CH65" i="11"/>
  <c r="CA29" i="15" s="1"/>
  <c r="CH82" i="11"/>
  <c r="CH49" i="11"/>
  <c r="CH71" i="11"/>
  <c r="CA32" i="15" s="1"/>
  <c r="CH64" i="11"/>
  <c r="CH6" i="5"/>
  <c r="CH6" i="8"/>
  <c r="CH11" i="11"/>
  <c r="CA2" i="15" s="1"/>
  <c r="CH19" i="11"/>
  <c r="CH35" i="11"/>
  <c r="CA14" i="15" s="1"/>
  <c r="CH41" i="11"/>
  <c r="CA17" i="15" s="1"/>
  <c r="CH67" i="11"/>
  <c r="CH58" i="11"/>
  <c r="CH47" i="11"/>
  <c r="CA20" i="15" s="1"/>
  <c r="CH73" i="11"/>
  <c r="CH83" i="11"/>
  <c r="CA38" i="15" s="1"/>
  <c r="BL6" i="3"/>
  <c r="BL6" i="7"/>
  <c r="BL17" i="11"/>
  <c r="BG5" i="15" s="1"/>
  <c r="BL10" i="11"/>
  <c r="BL34" i="11"/>
  <c r="BL40" i="11"/>
  <c r="BL31" i="11"/>
  <c r="BL71" i="11"/>
  <c r="BG32" i="15" s="1"/>
  <c r="BL76" i="11"/>
  <c r="BL55" i="11"/>
  <c r="BL77" i="11"/>
  <c r="BG35" i="15" s="1"/>
  <c r="BL82" i="11"/>
  <c r="BL6" i="5"/>
  <c r="BL6" i="9"/>
  <c r="BL16" i="11"/>
  <c r="BL19" i="11"/>
  <c r="BL28" i="11"/>
  <c r="BL29" i="11"/>
  <c r="BG11" i="15" s="1"/>
  <c r="BL73" i="11"/>
  <c r="BL53" i="11"/>
  <c r="BG23" i="15" s="1"/>
  <c r="BL79" i="11"/>
  <c r="BL58" i="11"/>
  <c r="BL83" i="11"/>
  <c r="BG38" i="15" s="1"/>
  <c r="DA82" i="11"/>
  <c r="DA70" i="11"/>
  <c r="DA55" i="11"/>
  <c r="DA49" i="11"/>
  <c r="DA31" i="11"/>
  <c r="DA16" i="11"/>
  <c r="DA19" i="11"/>
  <c r="DA6" i="7"/>
  <c r="DA6" i="3"/>
  <c r="CP64" i="11"/>
  <c r="CP61" i="11"/>
  <c r="CP82" i="11"/>
  <c r="CP79" i="11"/>
  <c r="CP53" i="11"/>
  <c r="CH23" i="15" s="1"/>
  <c r="CP43" i="11"/>
  <c r="CP34" i="11"/>
  <c r="CP46" i="11"/>
  <c r="CP28" i="11"/>
  <c r="CP13" i="11"/>
  <c r="CP10" i="11"/>
  <c r="CP6" i="9"/>
  <c r="CP6" i="3"/>
  <c r="F73" i="14"/>
  <c r="F64" i="14"/>
  <c r="DA61" i="11"/>
  <c r="DA79" i="11"/>
  <c r="DA64" i="11"/>
  <c r="DA13" i="11"/>
  <c r="DA28" i="11"/>
  <c r="DA22" i="11"/>
  <c r="DA6" i="9"/>
  <c r="CP83" i="11"/>
  <c r="CH38" i="15" s="1"/>
  <c r="CP59" i="11"/>
  <c r="CH26" i="15" s="1"/>
  <c r="CP58" i="11"/>
  <c r="CP77" i="11"/>
  <c r="CH35" i="15" s="1"/>
  <c r="CP55" i="11"/>
  <c r="CP41" i="11"/>
  <c r="CH17" i="15" s="1"/>
  <c r="CP35" i="11"/>
  <c r="CH14" i="15" s="1"/>
  <c r="CP19" i="11"/>
  <c r="CP11" i="11"/>
  <c r="CH2" i="15" s="1"/>
  <c r="CP6" i="8"/>
  <c r="G52" i="14"/>
  <c r="CG7" i="9"/>
  <c r="DS7" i="9"/>
  <c r="CE9" i="9"/>
  <c r="DA11" i="7" l="1"/>
  <c r="DA9" i="9"/>
  <c r="BN7" i="9"/>
  <c r="DN9" i="9"/>
  <c r="AN11" i="7"/>
  <c r="EN9" i="3"/>
  <c r="EA9" i="9"/>
  <c r="CN9" i="9"/>
  <c r="CA9" i="3"/>
  <c r="AA7" i="9"/>
  <c r="DS9" i="9"/>
  <c r="DN11" i="7"/>
  <c r="DA7" i="9"/>
  <c r="AN9" i="9"/>
  <c r="EN11" i="7"/>
  <c r="AN7" i="9"/>
  <c r="DN7" i="9"/>
  <c r="CA7" i="9"/>
  <c r="BA7" i="9"/>
  <c r="BA9" i="9"/>
  <c r="EA7" i="9"/>
  <c r="EA11" i="7"/>
  <c r="CA11" i="7"/>
  <c r="BN11" i="7"/>
  <c r="EN9" i="9"/>
  <c r="N9" i="9"/>
  <c r="DA9" i="3"/>
  <c r="N11" i="7"/>
  <c r="AA6" i="3"/>
  <c r="AA6" i="9"/>
  <c r="AA7" i="11"/>
  <c r="AA31" i="11"/>
  <c r="AA40" i="11"/>
  <c r="AA43" i="11"/>
  <c r="AA73" i="11"/>
  <c r="AA52" i="11"/>
  <c r="AA6" i="6"/>
  <c r="AA13" i="11"/>
  <c r="AA28" i="11"/>
  <c r="AA19" i="11"/>
  <c r="AA46" i="11"/>
  <c r="AA67" i="11"/>
  <c r="AA6" i="4"/>
  <c r="AA6" i="8"/>
  <c r="AA16" i="11"/>
  <c r="AA49" i="11"/>
  <c r="AA70" i="11"/>
  <c r="AA76" i="11"/>
  <c r="AA6" i="7"/>
  <c r="AA37" i="11"/>
  <c r="AA64" i="11"/>
  <c r="AA10" i="11"/>
  <c r="AA22" i="11"/>
  <c r="AA55" i="11"/>
  <c r="AA82" i="11"/>
  <c r="AA25" i="11"/>
  <c r="AA58" i="11"/>
  <c r="AA79" i="11"/>
  <c r="AA34" i="11"/>
  <c r="AA61" i="11"/>
  <c r="AA13" i="12"/>
  <c r="AA6" i="5"/>
  <c r="DX6" i="6"/>
  <c r="DX22" i="11"/>
  <c r="DX28" i="11"/>
  <c r="DX46" i="11"/>
  <c r="DX13" i="12"/>
  <c r="DX6" i="4"/>
  <c r="DX23" i="11"/>
  <c r="DN8" i="15" s="1"/>
  <c r="DX71" i="11"/>
  <c r="DN32" i="15" s="1"/>
  <c r="DX70" i="11"/>
  <c r="DX13" i="11"/>
  <c r="DX37" i="11"/>
  <c r="DX67" i="11"/>
  <c r="DX31" i="11"/>
  <c r="DX7" i="11"/>
  <c r="DX47" i="11"/>
  <c r="DN20" i="15" s="1"/>
  <c r="DX64" i="11"/>
  <c r="DX11" i="11"/>
  <c r="DN2" i="15" s="1"/>
  <c r="DX25" i="11"/>
  <c r="DV6" i="4"/>
  <c r="DV22" i="11"/>
  <c r="DV29" i="11"/>
  <c r="DL11" i="15" s="1"/>
  <c r="DV37" i="11"/>
  <c r="DV79" i="11"/>
  <c r="DV61" i="11"/>
  <c r="DV6" i="6"/>
  <c r="DV25" i="11"/>
  <c r="DV40" i="11"/>
  <c r="DV58" i="11"/>
  <c r="DV76" i="11"/>
  <c r="DV7" i="11"/>
  <c r="DV31" i="11"/>
  <c r="DV55" i="11"/>
  <c r="DV59" i="11"/>
  <c r="DL26" i="15" s="1"/>
  <c r="DV23" i="11"/>
  <c r="DL8" i="15" s="1"/>
  <c r="DV77" i="11"/>
  <c r="DL35" i="15" s="1"/>
  <c r="DV17" i="11"/>
  <c r="DL5" i="15" s="1"/>
  <c r="DV52" i="11"/>
  <c r="DV53" i="11"/>
  <c r="DL23" i="15" s="1"/>
  <c r="DV6" i="7"/>
  <c r="DV16" i="11"/>
  <c r="DV82" i="11"/>
  <c r="EI13" i="12"/>
  <c r="EI82" i="11"/>
  <c r="EI6" i="5"/>
  <c r="EI6" i="8"/>
  <c r="EI23" i="11"/>
  <c r="DX8" i="15" s="1"/>
  <c r="EI17" i="11"/>
  <c r="DX5" i="15" s="1"/>
  <c r="EI34" i="11"/>
  <c r="EI47" i="11"/>
  <c r="DX20" i="15" s="1"/>
  <c r="EI40" i="11"/>
  <c r="EI58" i="11"/>
  <c r="EI71" i="11"/>
  <c r="DX32" i="15" s="1"/>
  <c r="EI43" i="11"/>
  <c r="EI76" i="11"/>
  <c r="EI67" i="11"/>
  <c r="EI6" i="6"/>
  <c r="EI10" i="11"/>
  <c r="EI19" i="11"/>
  <c r="EI41" i="11"/>
  <c r="DX17" i="15" s="1"/>
  <c r="EI70" i="11"/>
  <c r="EI46" i="11"/>
  <c r="EI53" i="11"/>
  <c r="DX23" i="15" s="1"/>
  <c r="EI77" i="11"/>
  <c r="DX35" i="15" s="1"/>
  <c r="EI6" i="3"/>
  <c r="EI6" i="9"/>
  <c r="EI11" i="11"/>
  <c r="DX2" i="15" s="1"/>
  <c r="EI25" i="11"/>
  <c r="EI29" i="11"/>
  <c r="DX11" i="15" s="1"/>
  <c r="EI28" i="11"/>
  <c r="EI49" i="11"/>
  <c r="EI7" i="11"/>
  <c r="EI59" i="11"/>
  <c r="DX26" i="15" s="1"/>
  <c r="EI73" i="11"/>
  <c r="EI52" i="11"/>
  <c r="EI55" i="11"/>
  <c r="EI13" i="11"/>
  <c r="EI35" i="11"/>
  <c r="DX14" i="15" s="1"/>
  <c r="EI64" i="11"/>
  <c r="EI16" i="11"/>
  <c r="EI22" i="11"/>
  <c r="EI65" i="11"/>
  <c r="DX29" i="15" s="1"/>
  <c r="EI6" i="4"/>
  <c r="EI31" i="11"/>
  <c r="EI61" i="11"/>
  <c r="EI79" i="11"/>
  <c r="EI6" i="7"/>
  <c r="EI37" i="11"/>
  <c r="EI83" i="11"/>
  <c r="DX38" i="15" s="1"/>
  <c r="BA6" i="3"/>
  <c r="BA6" i="7"/>
  <c r="BA19" i="11"/>
  <c r="BA37" i="11"/>
  <c r="BA34" i="11"/>
  <c r="BA52" i="11"/>
  <c r="BA67" i="11"/>
  <c r="BA70" i="11"/>
  <c r="BA6" i="4"/>
  <c r="BA6" i="8"/>
  <c r="BA10" i="11"/>
  <c r="BA25" i="11"/>
  <c r="BA43" i="11"/>
  <c r="BA64" i="11"/>
  <c r="BA79" i="11"/>
  <c r="BA49" i="11"/>
  <c r="BA6" i="5"/>
  <c r="BA7" i="11"/>
  <c r="BA22" i="11"/>
  <c r="BA28" i="11"/>
  <c r="BA31" i="11"/>
  <c r="BA76" i="11"/>
  <c r="BA46" i="11"/>
  <c r="BA61" i="11"/>
  <c r="BA16" i="11"/>
  <c r="BA73" i="11"/>
  <c r="BA82" i="11"/>
  <c r="BA6" i="6"/>
  <c r="BA40" i="11"/>
  <c r="BA6" i="9"/>
  <c r="BA55" i="11"/>
  <c r="BA58" i="11"/>
  <c r="BA13" i="12"/>
  <c r="BA13" i="11"/>
  <c r="AP6" i="5"/>
  <c r="AP6" i="8"/>
  <c r="AP11" i="11"/>
  <c r="AL2" i="15" s="1"/>
  <c r="AP25" i="11"/>
  <c r="AP28" i="11"/>
  <c r="AP34" i="11"/>
  <c r="AP52" i="11"/>
  <c r="AP65" i="11"/>
  <c r="AL29" i="15" s="1"/>
  <c r="AP58" i="11"/>
  <c r="AP59" i="11"/>
  <c r="AL26" i="15" s="1"/>
  <c r="AP73" i="11"/>
  <c r="AP76" i="11"/>
  <c r="AP6" i="6"/>
  <c r="AP10" i="11"/>
  <c r="AP23" i="11"/>
  <c r="AL8" i="15" s="1"/>
  <c r="AP29" i="11"/>
  <c r="AL11" i="15" s="1"/>
  <c r="AP40" i="11"/>
  <c r="AP43" i="11"/>
  <c r="AP67" i="11"/>
  <c r="AP82" i="11"/>
  <c r="AP6" i="3"/>
  <c r="AP6" i="7"/>
  <c r="AP19" i="11"/>
  <c r="AP46" i="11"/>
  <c r="AP41" i="11"/>
  <c r="AL17" i="15" s="1"/>
  <c r="AP79" i="11"/>
  <c r="AP61" i="11"/>
  <c r="AP49" i="11"/>
  <c r="AP6" i="9"/>
  <c r="AP16" i="11"/>
  <c r="AP35" i="11"/>
  <c r="AL14" i="15" s="1"/>
  <c r="AP77" i="11"/>
  <c r="AL35" i="15" s="1"/>
  <c r="AP47" i="11"/>
  <c r="AL20" i="15" s="1"/>
  <c r="AP7" i="11"/>
  <c r="AP17" i="11"/>
  <c r="AL5" i="15" s="1"/>
  <c r="AP70" i="11"/>
  <c r="AP64" i="11"/>
  <c r="AP22" i="11"/>
  <c r="AP31" i="11"/>
  <c r="AP53" i="11"/>
  <c r="AL23" i="15" s="1"/>
  <c r="AP13" i="12"/>
  <c r="AP55" i="11"/>
  <c r="AP83" i="11"/>
  <c r="AL38" i="15" s="1"/>
  <c r="AP6" i="4"/>
  <c r="AP71" i="11"/>
  <c r="AL32" i="15" s="1"/>
  <c r="AP13" i="11"/>
  <c r="AP37" i="11"/>
  <c r="CN6" i="4"/>
  <c r="CN6" i="8"/>
  <c r="CN7" i="11"/>
  <c r="CN22" i="11"/>
  <c r="CN40" i="11"/>
  <c r="CN61" i="11"/>
  <c r="CN76" i="11"/>
  <c r="CN79" i="11"/>
  <c r="CN13" i="12"/>
  <c r="CN6" i="5"/>
  <c r="CN6" i="9"/>
  <c r="CN19" i="11"/>
  <c r="CN37" i="11"/>
  <c r="CN52" i="11"/>
  <c r="CN73" i="11"/>
  <c r="CN49" i="11"/>
  <c r="CN58" i="11"/>
  <c r="CN6" i="6"/>
  <c r="CN13" i="11"/>
  <c r="CN34" i="11"/>
  <c r="CN25" i="11"/>
  <c r="CN43" i="11"/>
  <c r="CN46" i="11"/>
  <c r="CN55" i="11"/>
  <c r="CN70" i="11"/>
  <c r="CN6" i="7"/>
  <c r="CN28" i="11"/>
  <c r="CN16" i="11"/>
  <c r="CN64" i="11"/>
  <c r="CN10" i="11"/>
  <c r="CN67" i="11"/>
  <c r="CN31" i="11"/>
  <c r="CN82" i="11"/>
  <c r="CN6" i="3"/>
  <c r="EB83" i="11"/>
  <c r="DQ38" i="15" s="1"/>
  <c r="EB6" i="5"/>
  <c r="EB6" i="9"/>
  <c r="EB16" i="11"/>
  <c r="EB19" i="11"/>
  <c r="EB22" i="11"/>
  <c r="EB29" i="11"/>
  <c r="DQ11" i="15" s="1"/>
  <c r="EN41" i="11"/>
  <c r="EB25" i="11"/>
  <c r="EB59" i="11"/>
  <c r="DQ26" i="15" s="1"/>
  <c r="EN71" i="11"/>
  <c r="EB76" i="11"/>
  <c r="EB65" i="11"/>
  <c r="DQ29" i="15" s="1"/>
  <c r="EN77" i="11"/>
  <c r="EB58" i="11"/>
  <c r="EB6" i="7"/>
  <c r="EB13" i="11"/>
  <c r="EB10" i="11"/>
  <c r="EN35" i="11"/>
  <c r="EB41" i="11"/>
  <c r="DQ17" i="15" s="1"/>
  <c r="EB28" i="11"/>
  <c r="EB61" i="11"/>
  <c r="EB64" i="11"/>
  <c r="EN65" i="11"/>
  <c r="EB46" i="11"/>
  <c r="EB13" i="12"/>
  <c r="EB6" i="8"/>
  <c r="EB17" i="11"/>
  <c r="DQ5" i="15" s="1"/>
  <c r="EB35" i="11"/>
  <c r="DQ14" i="15" s="1"/>
  <c r="EB43" i="11"/>
  <c r="EB49" i="11"/>
  <c r="EB52" i="11"/>
  <c r="EB67" i="11"/>
  <c r="EB70" i="11"/>
  <c r="EB6" i="3"/>
  <c r="EB11" i="11"/>
  <c r="DQ2" i="15" s="1"/>
  <c r="EN17" i="11"/>
  <c r="EB37" i="11"/>
  <c r="EB23" i="11"/>
  <c r="DQ8" i="15" s="1"/>
  <c r="EN59" i="11"/>
  <c r="EB53" i="11"/>
  <c r="DQ23" i="15" s="1"/>
  <c r="EB77" i="11"/>
  <c r="DQ35" i="15" s="1"/>
  <c r="EB82" i="11"/>
  <c r="EB6" i="4"/>
  <c r="EN11" i="11"/>
  <c r="EN23" i="11"/>
  <c r="EB31" i="11"/>
  <c r="EN29" i="11"/>
  <c r="EB71" i="11"/>
  <c r="DQ32" i="15" s="1"/>
  <c r="EN53" i="11"/>
  <c r="EB79" i="11"/>
  <c r="EB7" i="11"/>
  <c r="EB73" i="11"/>
  <c r="EN83" i="11"/>
  <c r="EB34" i="11"/>
  <c r="EB55" i="11"/>
  <c r="EB40" i="11"/>
  <c r="EN47" i="11"/>
  <c r="EB6" i="6"/>
  <c r="EB47" i="11"/>
  <c r="DQ20" i="15" s="1"/>
  <c r="L6" i="3"/>
  <c r="L6" i="7"/>
  <c r="L11" i="11"/>
  <c r="K2" i="15" s="1"/>
  <c r="L17" i="11"/>
  <c r="K5" i="15" s="1"/>
  <c r="L10" i="11"/>
  <c r="L29" i="11"/>
  <c r="K11" i="15" s="1"/>
  <c r="L23" i="11"/>
  <c r="K8" i="15" s="1"/>
  <c r="L25" i="11"/>
  <c r="L61" i="11"/>
  <c r="L46" i="11"/>
  <c r="L49" i="11"/>
  <c r="L65" i="11"/>
  <c r="K29" i="15" s="1"/>
  <c r="L58" i="11"/>
  <c r="L6" i="6"/>
  <c r="L19" i="11"/>
  <c r="L37" i="11"/>
  <c r="L40" i="11"/>
  <c r="L73" i="11"/>
  <c r="L53" i="11"/>
  <c r="K23" i="15" s="1"/>
  <c r="L77" i="11"/>
  <c r="K35" i="15" s="1"/>
  <c r="L13" i="12"/>
  <c r="L83" i="11"/>
  <c r="K38" i="15" s="1"/>
  <c r="L6" i="4"/>
  <c r="L6" i="9"/>
  <c r="L16" i="11"/>
  <c r="L22" i="11"/>
  <c r="L31" i="11"/>
  <c r="L43" i="11"/>
  <c r="L71" i="11"/>
  <c r="K32" i="15" s="1"/>
  <c r="L76" i="11"/>
  <c r="L55" i="11"/>
  <c r="L70" i="11"/>
  <c r="L6" i="8"/>
  <c r="L34" i="11"/>
  <c r="L41" i="11"/>
  <c r="K17" i="15" s="1"/>
  <c r="L64" i="11"/>
  <c r="L79" i="11"/>
  <c r="L7" i="11"/>
  <c r="L35" i="11"/>
  <c r="K14" i="15" s="1"/>
  <c r="L28" i="11"/>
  <c r="L47" i="11"/>
  <c r="K20" i="15" s="1"/>
  <c r="L82" i="11"/>
  <c r="L13" i="11"/>
  <c r="L59" i="11"/>
  <c r="K26" i="15" s="1"/>
  <c r="L52" i="11"/>
  <c r="L6" i="5"/>
  <c r="L67" i="11"/>
  <c r="CN11" i="7"/>
  <c r="AA9" i="9"/>
  <c r="AA11" i="7"/>
  <c r="DU13" i="12"/>
  <c r="DU82" i="11"/>
  <c r="DU6" i="4"/>
  <c r="DU6" i="8"/>
  <c r="DU10" i="11"/>
  <c r="DU11" i="11"/>
  <c r="DK2" i="15" s="1"/>
  <c r="DU25" i="11"/>
  <c r="DU43" i="11"/>
  <c r="DU31" i="11"/>
  <c r="DU64" i="11"/>
  <c r="DU53" i="11"/>
  <c r="DK23" i="15" s="1"/>
  <c r="DU77" i="11"/>
  <c r="DK35" i="15" s="1"/>
  <c r="DU70" i="11"/>
  <c r="DU6" i="5"/>
  <c r="DU7" i="11"/>
  <c r="DU22" i="11"/>
  <c r="DU13" i="11"/>
  <c r="DU28" i="11"/>
  <c r="DU6" i="9"/>
  <c r="DU40" i="11"/>
  <c r="DU76" i="11"/>
  <c r="DU55" i="11"/>
  <c r="DU59" i="11"/>
  <c r="DK26" i="15" s="1"/>
  <c r="DU73" i="11"/>
  <c r="DU6" i="6"/>
  <c r="DU17" i="11"/>
  <c r="DK5" i="15" s="1"/>
  <c r="DU35" i="11"/>
  <c r="DK14" i="15" s="1"/>
  <c r="DU23" i="11"/>
  <c r="DK8" i="15" s="1"/>
  <c r="DU34" i="11"/>
  <c r="DU16" i="11"/>
  <c r="DU46" i="11"/>
  <c r="DU47" i="11"/>
  <c r="DK20" i="15" s="1"/>
  <c r="DU65" i="11"/>
  <c r="DK29" i="15" s="1"/>
  <c r="DU79" i="11"/>
  <c r="DU61" i="11"/>
  <c r="DU83" i="11"/>
  <c r="DK38" i="15" s="1"/>
  <c r="DU6" i="3"/>
  <c r="DU49" i="11"/>
  <c r="DU6" i="7"/>
  <c r="DU41" i="11"/>
  <c r="DK17" i="15" s="1"/>
  <c r="DU67" i="11"/>
  <c r="DU19" i="11"/>
  <c r="DU29" i="11"/>
  <c r="DK11" i="15" s="1"/>
  <c r="DU58" i="11"/>
  <c r="DU37" i="11"/>
  <c r="DU52" i="11"/>
  <c r="DU71" i="11"/>
  <c r="DK32" i="15" s="1"/>
  <c r="CH6" i="6"/>
  <c r="CH23" i="11"/>
  <c r="CA8" i="15" s="1"/>
  <c r="CH31" i="11"/>
  <c r="CH53" i="11"/>
  <c r="CA23" i="15" s="1"/>
  <c r="CH70" i="11"/>
  <c r="CH52" i="11"/>
  <c r="CH6" i="4"/>
  <c r="CH25" i="11"/>
  <c r="CH40" i="11"/>
  <c r="CH79" i="11"/>
  <c r="CH76" i="11"/>
  <c r="CH7" i="11"/>
  <c r="CH29" i="11"/>
  <c r="CA11" i="15" s="1"/>
  <c r="CH55" i="11"/>
  <c r="CH59" i="11"/>
  <c r="CA26" i="15" s="1"/>
  <c r="CH17" i="11"/>
  <c r="CA5" i="15" s="1"/>
  <c r="CH61" i="11"/>
  <c r="CH22" i="11"/>
  <c r="CH77" i="11"/>
  <c r="CA35" i="15" s="1"/>
  <c r="CH13" i="12"/>
  <c r="CH16" i="11"/>
  <c r="CH37" i="11"/>
  <c r="CH6" i="7"/>
  <c r="I6" i="4"/>
  <c r="I19" i="11"/>
  <c r="I34" i="11"/>
  <c r="I71" i="11"/>
  <c r="H32" i="15" s="1"/>
  <c r="I6" i="5"/>
  <c r="I29" i="11"/>
  <c r="H11" i="15" s="1"/>
  <c r="I82" i="11"/>
  <c r="I6" i="8"/>
  <c r="I49" i="11"/>
  <c r="I23" i="11"/>
  <c r="H8" i="15" s="1"/>
  <c r="I52" i="11"/>
  <c r="I40" i="11"/>
  <c r="I59" i="11"/>
  <c r="H26" i="15" s="1"/>
  <c r="DW6" i="4"/>
  <c r="DW6" i="7"/>
  <c r="DW13" i="11"/>
  <c r="DW19" i="11"/>
  <c r="DW7" i="11"/>
  <c r="DW49" i="11"/>
  <c r="DW41" i="11"/>
  <c r="DM17" i="15" s="1"/>
  <c r="DW70" i="11"/>
  <c r="DW73" i="11"/>
  <c r="DW76" i="11"/>
  <c r="DW65" i="11"/>
  <c r="DM29" i="15" s="1"/>
  <c r="DW13" i="12"/>
  <c r="DW6" i="5"/>
  <c r="DW6" i="8"/>
  <c r="DW23" i="11"/>
  <c r="DM8" i="15" s="1"/>
  <c r="DW22" i="11"/>
  <c r="DW17" i="11"/>
  <c r="DM5" i="15" s="1"/>
  <c r="DW40" i="11"/>
  <c r="DW35" i="11"/>
  <c r="DM14" i="15" s="1"/>
  <c r="DW59" i="11"/>
  <c r="DM26" i="15" s="1"/>
  <c r="DW83" i="11"/>
  <c r="DM38" i="15" s="1"/>
  <c r="DW46" i="11"/>
  <c r="DW67" i="11"/>
  <c r="DW82" i="11"/>
  <c r="DW6" i="6"/>
  <c r="DW10" i="11"/>
  <c r="DW25" i="11"/>
  <c r="DW29" i="11"/>
  <c r="DM11" i="15" s="1"/>
  <c r="DW34" i="11"/>
  <c r="DW28" i="11"/>
  <c r="DW43" i="11"/>
  <c r="DW61" i="11"/>
  <c r="DW52" i="11"/>
  <c r="DW53" i="11"/>
  <c r="DM23" i="15" s="1"/>
  <c r="DW77" i="11"/>
  <c r="DM35" i="15" s="1"/>
  <c r="DW6" i="3"/>
  <c r="DW6" i="9"/>
  <c r="DW11" i="11"/>
  <c r="DM2" i="15" s="1"/>
  <c r="DW16" i="11"/>
  <c r="DW31" i="11"/>
  <c r="DW47" i="11"/>
  <c r="DM20" i="15" s="1"/>
  <c r="DW37" i="11"/>
  <c r="DW58" i="11"/>
  <c r="DW71" i="11"/>
  <c r="DM32" i="15" s="1"/>
  <c r="DW64" i="11"/>
  <c r="DW55" i="11"/>
  <c r="DW79" i="11"/>
  <c r="EK13" i="12"/>
  <c r="EK6" i="3"/>
  <c r="EK6" i="7"/>
  <c r="EK19" i="11"/>
  <c r="EK37" i="11"/>
  <c r="EK23" i="11"/>
  <c r="DZ8" i="15" s="1"/>
  <c r="EK41" i="11"/>
  <c r="DZ17" i="15" s="1"/>
  <c r="EK29" i="11"/>
  <c r="DZ11" i="15" s="1"/>
  <c r="EK46" i="11"/>
  <c r="EK47" i="11"/>
  <c r="DZ20" i="15" s="1"/>
  <c r="EK55" i="11"/>
  <c r="EK79" i="11"/>
  <c r="EK6" i="5"/>
  <c r="EK17" i="11"/>
  <c r="DZ5" i="15" s="1"/>
  <c r="EK6" i="9"/>
  <c r="EK28" i="11"/>
  <c r="EK16" i="11"/>
  <c r="EK52" i="11"/>
  <c r="EK49" i="11"/>
  <c r="EK77" i="11"/>
  <c r="DZ35" i="15" s="1"/>
  <c r="EK61" i="11"/>
  <c r="EK82" i="11"/>
  <c r="EK6" i="6"/>
  <c r="EK10" i="11"/>
  <c r="EK11" i="11"/>
  <c r="DZ2" i="15" s="1"/>
  <c r="EK34" i="11"/>
  <c r="EK64" i="11"/>
  <c r="EK53" i="11"/>
  <c r="DZ23" i="15" s="1"/>
  <c r="EK58" i="11"/>
  <c r="EK71" i="11"/>
  <c r="DZ32" i="15" s="1"/>
  <c r="EK6" i="8"/>
  <c r="EK22" i="11"/>
  <c r="EK13" i="11"/>
  <c r="EK31" i="11"/>
  <c r="EK76" i="11"/>
  <c r="EK65" i="11"/>
  <c r="DZ29" i="15" s="1"/>
  <c r="EK70" i="11"/>
  <c r="EK73" i="11"/>
  <c r="EK7" i="11"/>
  <c r="EK40" i="11"/>
  <c r="EK83" i="11"/>
  <c r="DZ38" i="15" s="1"/>
  <c r="EK35" i="11"/>
  <c r="DZ14" i="15" s="1"/>
  <c r="EK25" i="11"/>
  <c r="EK67" i="11"/>
  <c r="EK6" i="4"/>
  <c r="EK43" i="11"/>
  <c r="EK59" i="11"/>
  <c r="DZ26" i="15" s="1"/>
  <c r="EA9" i="3"/>
  <c r="CN9" i="3"/>
  <c r="AM6" i="4"/>
  <c r="AM6" i="6"/>
  <c r="AM6" i="7"/>
  <c r="AM10" i="11"/>
  <c r="AM23" i="11"/>
  <c r="AJ8" i="15" s="1"/>
  <c r="AM16" i="11"/>
  <c r="AM19" i="11"/>
  <c r="AM29" i="11"/>
  <c r="AJ11" i="15" s="1"/>
  <c r="AM31" i="11"/>
  <c r="AM34" i="11"/>
  <c r="AM28" i="11"/>
  <c r="AM41" i="11"/>
  <c r="AJ17" i="15" s="1"/>
  <c r="AM35" i="11"/>
  <c r="AJ14" i="15" s="1"/>
  <c r="AM40" i="11"/>
  <c r="AM70" i="11"/>
  <c r="AM59" i="11"/>
  <c r="AJ26" i="15" s="1"/>
  <c r="AM61" i="11"/>
  <c r="AM73" i="11"/>
  <c r="AM64" i="11"/>
  <c r="AM53" i="11"/>
  <c r="AJ23" i="15" s="1"/>
  <c r="AM65" i="11"/>
  <c r="AJ29" i="15" s="1"/>
  <c r="AM67" i="11"/>
  <c r="AM79" i="11"/>
  <c r="AM6" i="3"/>
  <c r="AM6" i="5"/>
  <c r="AM6" i="9"/>
  <c r="AM6" i="8"/>
  <c r="AM11" i="11"/>
  <c r="AJ2" i="15" s="1"/>
  <c r="AM13" i="11"/>
  <c r="AM25" i="11"/>
  <c r="AM7" i="11"/>
  <c r="AM22" i="11"/>
  <c r="AM17" i="11"/>
  <c r="AJ5" i="15" s="1"/>
  <c r="AM47" i="11"/>
  <c r="AJ20" i="15" s="1"/>
  <c r="AM49" i="11"/>
  <c r="AM37" i="11"/>
  <c r="AM43" i="11"/>
  <c r="AM58" i="11"/>
  <c r="AM46" i="11"/>
  <c r="AM71" i="11"/>
  <c r="AJ32" i="15" s="1"/>
  <c r="AM83" i="11"/>
  <c r="AJ38" i="15" s="1"/>
  <c r="AM52" i="11"/>
  <c r="AM76" i="11"/>
  <c r="AM55" i="11"/>
  <c r="AM77" i="11"/>
  <c r="AJ35" i="15" s="1"/>
  <c r="AM82" i="11"/>
  <c r="AM13" i="12"/>
  <c r="DN83" i="11"/>
  <c r="DB6" i="4"/>
  <c r="DB6" i="6"/>
  <c r="DB6" i="7"/>
  <c r="DB7" i="11"/>
  <c r="DB22" i="11"/>
  <c r="DN11" i="11"/>
  <c r="DB23" i="11"/>
  <c r="CS8" i="15" s="1"/>
  <c r="DB25" i="11"/>
  <c r="DB19" i="11"/>
  <c r="DB29" i="11"/>
  <c r="CS11" i="15" s="1"/>
  <c r="DN29" i="11"/>
  <c r="DN35" i="11"/>
  <c r="DB34" i="11"/>
  <c r="DN17" i="11"/>
  <c r="DB41" i="11"/>
  <c r="CS17" i="15" s="1"/>
  <c r="DN41" i="11"/>
  <c r="DN53" i="11"/>
  <c r="DB65" i="11"/>
  <c r="CS29" i="15" s="1"/>
  <c r="DB67" i="11"/>
  <c r="DN77" i="11"/>
  <c r="DB43" i="11"/>
  <c r="DB70" i="11"/>
  <c r="DB13" i="12"/>
  <c r="DB59" i="11"/>
  <c r="CS26" i="15" s="1"/>
  <c r="DN59" i="11"/>
  <c r="DB71" i="11"/>
  <c r="CS32" i="15" s="1"/>
  <c r="DN71" i="11"/>
  <c r="DB47" i="11"/>
  <c r="CS20" i="15" s="1"/>
  <c r="DB49" i="11"/>
  <c r="DB64" i="11"/>
  <c r="DB6" i="3"/>
  <c r="DB6" i="5"/>
  <c r="DB6" i="9"/>
  <c r="DB6" i="8"/>
  <c r="DB10" i="11"/>
  <c r="DB11" i="11"/>
  <c r="CS2" i="15" s="1"/>
  <c r="DB13" i="11"/>
  <c r="DN23" i="11"/>
  <c r="DB16" i="11"/>
  <c r="DB17" i="11"/>
  <c r="CS5" i="15" s="1"/>
  <c r="DB28" i="11"/>
  <c r="DB31" i="11"/>
  <c r="DB46" i="11"/>
  <c r="DB37" i="11"/>
  <c r="DB35" i="11"/>
  <c r="CS14" i="15" s="1"/>
  <c r="DB40" i="11"/>
  <c r="DB53" i="11"/>
  <c r="CS23" i="15" s="1"/>
  <c r="DB55" i="11"/>
  <c r="DN65" i="11"/>
  <c r="DB77" i="11"/>
  <c r="CS35" i="15" s="1"/>
  <c r="DB79" i="11"/>
  <c r="DB58" i="11"/>
  <c r="DB82" i="11"/>
  <c r="DN47" i="11"/>
  <c r="DB61" i="11"/>
  <c r="DB73" i="11"/>
  <c r="DB52" i="11"/>
  <c r="DB76" i="11"/>
  <c r="DB83" i="11"/>
  <c r="CS38" i="15" s="1"/>
  <c r="DN6" i="3"/>
  <c r="DN6" i="5"/>
  <c r="DN6" i="9"/>
  <c r="DN6" i="8"/>
  <c r="DN10" i="11"/>
  <c r="DN13" i="11"/>
  <c r="DN28" i="11"/>
  <c r="DN19" i="11"/>
  <c r="DN46" i="11"/>
  <c r="DN34" i="11"/>
  <c r="DN55" i="11"/>
  <c r="DN79" i="11"/>
  <c r="DN58" i="11"/>
  <c r="DN82" i="11"/>
  <c r="DN49" i="11"/>
  <c r="DN73" i="11"/>
  <c r="DN64" i="11"/>
  <c r="DN6" i="4"/>
  <c r="DN6" i="6"/>
  <c r="DN6" i="7"/>
  <c r="DN7" i="11"/>
  <c r="DN22" i="11"/>
  <c r="DN25" i="11"/>
  <c r="DN16" i="11"/>
  <c r="DN31" i="11"/>
  <c r="DN40" i="11"/>
  <c r="DN37" i="11"/>
  <c r="DN67" i="11"/>
  <c r="DN43" i="11"/>
  <c r="DN70" i="11"/>
  <c r="DN13" i="12"/>
  <c r="DN61" i="11"/>
  <c r="DN52" i="11"/>
  <c r="DN76" i="11"/>
  <c r="A19" i="15"/>
  <c r="B7" i="7"/>
  <c r="BB14" i="12"/>
  <c r="BC14" i="12" s="1"/>
  <c r="BD14" i="12" s="1"/>
  <c r="BE14" i="12" s="1"/>
  <c r="BF14" i="12" s="1"/>
  <c r="BG14" i="12" s="1"/>
  <c r="BH14" i="12" s="1"/>
  <c r="BI14" i="12" s="1"/>
  <c r="BJ14" i="12" s="1"/>
  <c r="BK14" i="12" s="1"/>
  <c r="BL14" i="12" s="1"/>
  <c r="BM14" i="12" s="1"/>
  <c r="BA14" i="12"/>
  <c r="CU13" i="12"/>
  <c r="CU6" i="5"/>
  <c r="CU6" i="8"/>
  <c r="CU13" i="11"/>
  <c r="CU16" i="11"/>
  <c r="CU29" i="11"/>
  <c r="CM11" i="15" s="1"/>
  <c r="CU22" i="11"/>
  <c r="CU43" i="11"/>
  <c r="CU52" i="11"/>
  <c r="CU71" i="11"/>
  <c r="CM32" i="15" s="1"/>
  <c r="CU67" i="11"/>
  <c r="CU6" i="4"/>
  <c r="CU6" i="7"/>
  <c r="CU25" i="11"/>
  <c r="CU7" i="11"/>
  <c r="CU34" i="11"/>
  <c r="CU47" i="11"/>
  <c r="CM20" i="15" s="1"/>
  <c r="CU35" i="11"/>
  <c r="CM14" i="15" s="1"/>
  <c r="CU70" i="11"/>
  <c r="CU61" i="11"/>
  <c r="CU83" i="11"/>
  <c r="CM38" i="15" s="1"/>
  <c r="CU53" i="11"/>
  <c r="CM23" i="15" s="1"/>
  <c r="CU79" i="11"/>
  <c r="CU6" i="6"/>
  <c r="CU23" i="11"/>
  <c r="CM8" i="15" s="1"/>
  <c r="CU49" i="11"/>
  <c r="CU46" i="11"/>
  <c r="CU55" i="11"/>
  <c r="CU6" i="3"/>
  <c r="CU11" i="11"/>
  <c r="CM2" i="15" s="1"/>
  <c r="CU37" i="11"/>
  <c r="CU41" i="11"/>
  <c r="CM17" i="15" s="1"/>
  <c r="CU76" i="11"/>
  <c r="CU17" i="11"/>
  <c r="CM5" i="15" s="1"/>
  <c r="CU40" i="11"/>
  <c r="CU64" i="11"/>
  <c r="CU19" i="11"/>
  <c r="CU73" i="11"/>
  <c r="CU10" i="11"/>
  <c r="CU28" i="11"/>
  <c r="CU59" i="11"/>
  <c r="CM26" i="15" s="1"/>
  <c r="CU77" i="11"/>
  <c r="CM35" i="15" s="1"/>
  <c r="CU82" i="11"/>
  <c r="CU6" i="9"/>
  <c r="CU31" i="11"/>
  <c r="CU58" i="11"/>
  <c r="CU65" i="11"/>
  <c r="CM29" i="15" s="1"/>
  <c r="O7" i="9"/>
  <c r="AA9" i="3"/>
  <c r="B31" i="15"/>
  <c r="D9" i="4"/>
  <c r="BN9" i="9"/>
  <c r="CA9" i="9"/>
  <c r="AO9" i="9"/>
  <c r="BA11" i="7"/>
  <c r="B7" i="9"/>
  <c r="N9" i="3"/>
  <c r="N7" i="9"/>
  <c r="B7" i="3"/>
  <c r="A4" i="15"/>
  <c r="DN9" i="3"/>
  <c r="BU13" i="12"/>
  <c r="BU6" i="4"/>
  <c r="BU7" i="11"/>
  <c r="BU10" i="11"/>
  <c r="BU25" i="11"/>
  <c r="BU37" i="11"/>
  <c r="BU43" i="11"/>
  <c r="BU31" i="11"/>
  <c r="BU40" i="11"/>
  <c r="BU64" i="11"/>
  <c r="BU67" i="11"/>
  <c r="BU58" i="11"/>
  <c r="BU73" i="11"/>
  <c r="BU6" i="6"/>
  <c r="BU6" i="9"/>
  <c r="BU19" i="11"/>
  <c r="BU49" i="11"/>
  <c r="BU53" i="11"/>
  <c r="BO23" i="15" s="1"/>
  <c r="BU79" i="11"/>
  <c r="BU59" i="11"/>
  <c r="BO26" i="15" s="1"/>
  <c r="BU6" i="3"/>
  <c r="BU17" i="11"/>
  <c r="BO5" i="15" s="1"/>
  <c r="BU16" i="11"/>
  <c r="BU13" i="11"/>
  <c r="BU47" i="11"/>
  <c r="BO20" i="15" s="1"/>
  <c r="BU55" i="11"/>
  <c r="BU70" i="11"/>
  <c r="BU83" i="11"/>
  <c r="BO38" i="15" s="1"/>
  <c r="BU6" i="8"/>
  <c r="BU23" i="11"/>
  <c r="BO8" i="15" s="1"/>
  <c r="BU41" i="11"/>
  <c r="BO17" i="15" s="1"/>
  <c r="BU11" i="11"/>
  <c r="BO2" i="15" s="1"/>
  <c r="BU52" i="11"/>
  <c r="BU71" i="11"/>
  <c r="BO32" i="15" s="1"/>
  <c r="BU82" i="11"/>
  <c r="BU6" i="7"/>
  <c r="BU28" i="11"/>
  <c r="BU76" i="11"/>
  <c r="BU61" i="11"/>
  <c r="BU6" i="5"/>
  <c r="BU35" i="11"/>
  <c r="BO14" i="15" s="1"/>
  <c r="BU46" i="11"/>
  <c r="BU22" i="11"/>
  <c r="BU34" i="11"/>
  <c r="BU77" i="11"/>
  <c r="BO35" i="15" s="1"/>
  <c r="BU29" i="11"/>
  <c r="BO11" i="15" s="1"/>
  <c r="BU65" i="11"/>
  <c r="BO29" i="15" s="1"/>
  <c r="DE13" i="12"/>
  <c r="DE82" i="11"/>
  <c r="DE6" i="5"/>
  <c r="DE6" i="9"/>
  <c r="DE19" i="11"/>
  <c r="DE13" i="11"/>
  <c r="DE28" i="11"/>
  <c r="DE43" i="11"/>
  <c r="DE31" i="11"/>
  <c r="DE64" i="11"/>
  <c r="DE49" i="11"/>
  <c r="DE65" i="11"/>
  <c r="CV29" i="15" s="1"/>
  <c r="DE59" i="11"/>
  <c r="CV26" i="15" s="1"/>
  <c r="DE6" i="4"/>
  <c r="DE6" i="8"/>
  <c r="DE35" i="11"/>
  <c r="CV14" i="15" s="1"/>
  <c r="DE25" i="11"/>
  <c r="DE52" i="11"/>
  <c r="DE55" i="11"/>
  <c r="DE77" i="11"/>
  <c r="CV35" i="15" s="1"/>
  <c r="DE70" i="11"/>
  <c r="DE71" i="11"/>
  <c r="CV32" i="15" s="1"/>
  <c r="DE7" i="11"/>
  <c r="DE37" i="11"/>
  <c r="DE34" i="11"/>
  <c r="DE40" i="11"/>
  <c r="DE53" i="11"/>
  <c r="CV23" i="15" s="1"/>
  <c r="DE79" i="11"/>
  <c r="DE73" i="11"/>
  <c r="DE6" i="7"/>
  <c r="DE22" i="11"/>
  <c r="DE29" i="11"/>
  <c r="CV11" i="15" s="1"/>
  <c r="DE47" i="11"/>
  <c r="CV20" i="15" s="1"/>
  <c r="DE67" i="11"/>
  <c r="DE61" i="11"/>
  <c r="DE17" i="11"/>
  <c r="CV5" i="15" s="1"/>
  <c r="DE41" i="11"/>
  <c r="CV17" i="15" s="1"/>
  <c r="DE83" i="11"/>
  <c r="CV38" i="15" s="1"/>
  <c r="DE6" i="6"/>
  <c r="DE23" i="11"/>
  <c r="CV8" i="15" s="1"/>
  <c r="DE76" i="11"/>
  <c r="DE6" i="3"/>
  <c r="DE11" i="11"/>
  <c r="CV2" i="15" s="1"/>
  <c r="DE46" i="11"/>
  <c r="DE58" i="11"/>
  <c r="DE10" i="11"/>
  <c r="DE16" i="11"/>
  <c r="AN9" i="3"/>
  <c r="C9" i="7"/>
  <c r="BK82" i="11"/>
  <c r="BK6" i="4"/>
  <c r="BK6" i="7"/>
  <c r="BK25" i="11"/>
  <c r="BK29" i="11"/>
  <c r="BF11" i="15" s="1"/>
  <c r="BK17" i="11"/>
  <c r="BF5" i="15" s="1"/>
  <c r="BK37" i="11"/>
  <c r="BK35" i="11"/>
  <c r="BF14" i="15" s="1"/>
  <c r="BK70" i="11"/>
  <c r="BK6" i="3"/>
  <c r="BK6" i="9"/>
  <c r="BK11" i="11"/>
  <c r="BF2" i="15" s="1"/>
  <c r="BK22" i="11"/>
  <c r="BK7" i="11"/>
  <c r="BK47" i="11"/>
  <c r="BF20" i="15" s="1"/>
  <c r="BK28" i="11"/>
  <c r="BK43" i="11"/>
  <c r="BK58" i="11"/>
  <c r="BK61" i="11"/>
  <c r="BK83" i="11"/>
  <c r="BF38" i="15" s="1"/>
  <c r="BK46" i="11"/>
  <c r="BK65" i="11"/>
  <c r="BF29" i="15" s="1"/>
  <c r="BK6" i="6"/>
  <c r="BK23" i="11"/>
  <c r="BF8" i="15" s="1"/>
  <c r="BK31" i="11"/>
  <c r="BK40" i="11"/>
  <c r="BK52" i="11"/>
  <c r="BK76" i="11"/>
  <c r="BK6" i="5"/>
  <c r="BK13" i="11"/>
  <c r="BK49" i="11"/>
  <c r="BK71" i="11"/>
  <c r="BF32" i="15" s="1"/>
  <c r="BK64" i="11"/>
  <c r="BK55" i="11"/>
  <c r="BK79" i="11"/>
  <c r="BK6" i="8"/>
  <c r="BK59" i="11"/>
  <c r="BF26" i="15" s="1"/>
  <c r="BK53" i="11"/>
  <c r="BF23" i="15" s="1"/>
  <c r="BK19" i="11"/>
  <c r="BK77" i="11"/>
  <c r="BF35" i="15" s="1"/>
  <c r="BK13" i="12"/>
  <c r="BK16" i="11"/>
  <c r="BK41" i="11"/>
  <c r="BF17" i="15" s="1"/>
  <c r="BK73" i="11"/>
  <c r="BK67" i="11"/>
  <c r="BK10" i="11"/>
  <c r="BK34" i="11"/>
  <c r="CC7" i="9"/>
  <c r="CN7" i="9"/>
  <c r="BN9" i="3"/>
  <c r="BB7" i="9"/>
  <c r="EE7" i="9"/>
  <c r="EN7" i="9"/>
  <c r="BA9" i="3"/>
  <c r="B11" i="8" l="1"/>
  <c r="B9" i="6" s="1"/>
  <c r="A13" i="15" s="1"/>
  <c r="A16" i="15"/>
  <c r="BO14" i="12"/>
  <c r="BP14" i="12" s="1"/>
  <c r="BQ14" i="12" s="1"/>
  <c r="BR14" i="12" s="1"/>
  <c r="BS14" i="12" s="1"/>
  <c r="BT14" i="12" s="1"/>
  <c r="BU14" i="12" s="1"/>
  <c r="BV14" i="12" s="1"/>
  <c r="BW14" i="12" s="1"/>
  <c r="BX14" i="12" s="1"/>
  <c r="BY14" i="12" s="1"/>
  <c r="BZ14" i="12" s="1"/>
  <c r="BN14" i="12"/>
  <c r="B19" i="15"/>
  <c r="A1" i="15"/>
  <c r="AD5" i="16" s="1"/>
  <c r="C11" i="3"/>
  <c r="C13" i="3"/>
  <c r="C13" i="6" l="1"/>
  <c r="C15" i="3" s="1"/>
  <c r="CB14" i="12"/>
  <c r="CC14" i="12" s="1"/>
  <c r="CD14" i="12" s="1"/>
  <c r="CE14" i="12" s="1"/>
  <c r="CF14" i="12" s="1"/>
  <c r="CG14" i="12" s="1"/>
  <c r="CH14" i="12" s="1"/>
  <c r="CI14" i="12" s="1"/>
  <c r="CJ14" i="12" s="1"/>
  <c r="CK14" i="12" s="1"/>
  <c r="CL14" i="12" s="1"/>
  <c r="CM14" i="12" s="1"/>
  <c r="CA14" i="12"/>
  <c r="C9" i="5"/>
  <c r="B28" i="15"/>
  <c r="C7" i="7"/>
  <c r="C13" i="4"/>
  <c r="B37" i="15"/>
  <c r="B10" i="15" l="1"/>
  <c r="CO14" i="12"/>
  <c r="CP14" i="12" s="1"/>
  <c r="CQ14" i="12" s="1"/>
  <c r="CR14" i="12" s="1"/>
  <c r="CS14" i="12" s="1"/>
  <c r="CT14" i="12" s="1"/>
  <c r="CU14" i="12" s="1"/>
  <c r="CV14" i="12" s="1"/>
  <c r="CW14" i="12" s="1"/>
  <c r="CX14" i="12" s="1"/>
  <c r="CY14" i="12" s="1"/>
  <c r="CZ14" i="12" s="1"/>
  <c r="CN14" i="12"/>
  <c r="D7" i="5"/>
  <c r="B25" i="15"/>
  <c r="B16" i="15"/>
  <c r="C11" i="8"/>
  <c r="C9" i="6" s="1"/>
  <c r="C11" i="4"/>
  <c r="D7" i="4" s="1"/>
  <c r="B34" i="15"/>
  <c r="C7" i="6"/>
  <c r="B7" i="15"/>
  <c r="DB14" i="12" l="1"/>
  <c r="DC14" i="12" s="1"/>
  <c r="DD14" i="12" s="1"/>
  <c r="DE14" i="12" s="1"/>
  <c r="DF14" i="12" s="1"/>
  <c r="DG14" i="12" s="1"/>
  <c r="DH14" i="12" s="1"/>
  <c r="DI14" i="12" s="1"/>
  <c r="DJ14" i="12" s="1"/>
  <c r="DK14" i="12" s="1"/>
  <c r="DL14" i="12" s="1"/>
  <c r="DM14" i="12" s="1"/>
  <c r="DA14" i="12"/>
  <c r="B13" i="15"/>
  <c r="D13" i="6"/>
  <c r="D9" i="7"/>
  <c r="C19" i="15" s="1"/>
  <c r="C22" i="15"/>
  <c r="C31" i="15"/>
  <c r="E9" i="4"/>
  <c r="C11" i="6"/>
  <c r="C7" i="3" s="1"/>
  <c r="B4" i="15" l="1"/>
  <c r="DO14" i="12"/>
  <c r="DP14" i="12" s="1"/>
  <c r="DQ14" i="12" s="1"/>
  <c r="DR14" i="12" s="1"/>
  <c r="DS14" i="12" s="1"/>
  <c r="DT14" i="12" s="1"/>
  <c r="DU14" i="12" s="1"/>
  <c r="DV14" i="12" s="1"/>
  <c r="DW14" i="12" s="1"/>
  <c r="DX14" i="12" s="1"/>
  <c r="DY14" i="12" s="1"/>
  <c r="DZ14" i="12" s="1"/>
  <c r="DN14" i="12"/>
  <c r="C10" i="15"/>
  <c r="D15" i="3"/>
  <c r="B1" i="15"/>
  <c r="D11" i="3"/>
  <c r="D13" i="3"/>
  <c r="EB14" i="12" l="1"/>
  <c r="EC14" i="12" s="1"/>
  <c r="ED14" i="12" s="1"/>
  <c r="EE14" i="12" s="1"/>
  <c r="EF14" i="12" s="1"/>
  <c r="EG14" i="12" s="1"/>
  <c r="EH14" i="12" s="1"/>
  <c r="EI14" i="12" s="1"/>
  <c r="EJ14" i="12" s="1"/>
  <c r="EK14" i="12" s="1"/>
  <c r="EL14" i="12" s="1"/>
  <c r="EM14" i="12" s="1"/>
  <c r="EN14" i="12" s="1"/>
  <c r="EA14" i="12"/>
  <c r="D7" i="6"/>
  <c r="C7" i="15"/>
  <c r="C37" i="15"/>
  <c r="D13" i="4"/>
  <c r="D9" i="5"/>
  <c r="C28" i="15"/>
  <c r="D7" i="7"/>
  <c r="C16" i="15" l="1"/>
  <c r="D11" i="8"/>
  <c r="D11" i="4"/>
  <c r="C34" i="15"/>
  <c r="C25" i="15"/>
  <c r="E7" i="5"/>
  <c r="D22" i="15" l="1"/>
  <c r="E7" i="4"/>
  <c r="E9" i="7" s="1"/>
  <c r="D11" i="6"/>
  <c r="D9" i="6"/>
  <c r="D19" i="15" l="1"/>
  <c r="C4" i="15"/>
  <c r="D7" i="3"/>
  <c r="C13" i="15"/>
  <c r="E13" i="6"/>
  <c r="F9" i="4"/>
  <c r="D31" i="15"/>
  <c r="E15" i="3" l="1"/>
  <c r="D10" i="15"/>
  <c r="C1" i="15"/>
  <c r="E11" i="3"/>
  <c r="E13" i="3"/>
  <c r="E13" i="4" l="1"/>
  <c r="D37" i="15"/>
  <c r="E7" i="6"/>
  <c r="D7" i="15"/>
  <c r="E9" i="5"/>
  <c r="D28" i="15"/>
  <c r="E7" i="7"/>
  <c r="E11" i="8" l="1"/>
  <c r="E9" i="6" s="1"/>
  <c r="D16" i="15"/>
  <c r="D25" i="15"/>
  <c r="F7" i="5"/>
  <c r="D34" i="15"/>
  <c r="E11" i="4"/>
  <c r="D13" i="15" l="1"/>
  <c r="F13" i="6"/>
  <c r="E22" i="15"/>
  <c r="F7" i="4"/>
  <c r="F9" i="7" s="1"/>
  <c r="E11" i="6"/>
  <c r="E7" i="3" l="1"/>
  <c r="D4" i="15"/>
  <c r="E19" i="15"/>
  <c r="F15" i="3"/>
  <c r="E10" i="15"/>
  <c r="E31" i="15"/>
  <c r="G9" i="4"/>
  <c r="D1" i="15" l="1"/>
  <c r="F13" i="3"/>
  <c r="F11" i="3"/>
  <c r="E7" i="15"/>
  <c r="F7" i="6"/>
  <c r="E37" i="15" l="1"/>
  <c r="F13" i="4"/>
  <c r="E28" i="15"/>
  <c r="F9" i="5"/>
  <c r="F7" i="7"/>
  <c r="E16" i="15" l="1"/>
  <c r="F11" i="8"/>
  <c r="F9" i="6" s="1"/>
  <c r="E34" i="15"/>
  <c r="F11" i="4"/>
  <c r="E25" i="15"/>
  <c r="G7" i="5"/>
  <c r="E13" i="15" l="1"/>
  <c r="G13" i="6"/>
  <c r="F22" i="15"/>
  <c r="G7" i="4"/>
  <c r="G9" i="7" s="1"/>
  <c r="F11" i="6"/>
  <c r="E4" i="15" l="1"/>
  <c r="F7" i="3"/>
  <c r="F10" i="15"/>
  <c r="G15" i="3"/>
  <c r="F19" i="15"/>
  <c r="H9" i="4"/>
  <c r="F31" i="15"/>
  <c r="F7" i="15" l="1"/>
  <c r="G7" i="6"/>
  <c r="E1" i="15"/>
  <c r="G11" i="3"/>
  <c r="G13" i="3"/>
  <c r="F37" i="15" l="1"/>
  <c r="G13" i="4"/>
  <c r="G9" i="5"/>
  <c r="F28" i="15"/>
  <c r="G7" i="7"/>
  <c r="G11" i="8" l="1"/>
  <c r="G9" i="6" s="1"/>
  <c r="F16" i="15"/>
  <c r="F25" i="15"/>
  <c r="H7" i="5"/>
  <c r="F34" i="15"/>
  <c r="G11" i="4"/>
  <c r="G22" i="15" l="1"/>
  <c r="H7" i="4"/>
  <c r="G11" i="6"/>
  <c r="F13" i="15"/>
  <c r="H13" i="6"/>
  <c r="H15" i="3" l="1"/>
  <c r="G10" i="15"/>
  <c r="G7" i="3"/>
  <c r="F4" i="15"/>
  <c r="G31" i="15"/>
  <c r="I9" i="4"/>
  <c r="H9" i="7"/>
  <c r="F1" i="15" l="1"/>
  <c r="H11" i="3"/>
  <c r="H13" i="3"/>
  <c r="H7" i="7" s="1"/>
  <c r="H7" i="6"/>
  <c r="G7" i="15"/>
  <c r="G19" i="15"/>
  <c r="H11" i="8" l="1"/>
  <c r="H9" i="6" s="1"/>
  <c r="G16" i="15"/>
  <c r="H13" i="4"/>
  <c r="G37" i="15"/>
  <c r="G28" i="15"/>
  <c r="H9" i="5"/>
  <c r="G13" i="15" l="1"/>
  <c r="I13" i="6"/>
  <c r="G25" i="15"/>
  <c r="I7" i="5"/>
  <c r="G34" i="15"/>
  <c r="H11" i="4"/>
  <c r="H10" i="15" l="1"/>
  <c r="I15" i="3"/>
  <c r="I7" i="4"/>
  <c r="H11" i="6"/>
  <c r="H22" i="15"/>
  <c r="J9" i="4" l="1"/>
  <c r="H31" i="15"/>
  <c r="G4" i="15"/>
  <c r="H7" i="3"/>
  <c r="H7" i="15"/>
  <c r="I7" i="6"/>
  <c r="I9" i="7"/>
  <c r="H19" i="15" l="1"/>
  <c r="G1" i="15"/>
  <c r="I13" i="3"/>
  <c r="I7" i="7" s="1"/>
  <c r="I11" i="3"/>
  <c r="I11" i="8" l="1"/>
  <c r="I9" i="6" s="1"/>
  <c r="H16" i="15"/>
  <c r="I13" i="4"/>
  <c r="H37" i="15"/>
  <c r="I9" i="5"/>
  <c r="H28" i="15"/>
  <c r="H13" i="15" l="1"/>
  <c r="J13" i="6"/>
  <c r="H34" i="15"/>
  <c r="I11" i="4"/>
  <c r="H25" i="15"/>
  <c r="J7" i="5"/>
  <c r="I22" i="15" l="1"/>
  <c r="J15" i="3"/>
  <c r="I10" i="15"/>
  <c r="I11" i="6"/>
  <c r="J7" i="4"/>
  <c r="J9" i="7" s="1"/>
  <c r="I19" i="15" l="1"/>
  <c r="H4" i="15"/>
  <c r="I7" i="3"/>
  <c r="K9" i="4"/>
  <c r="I31" i="15"/>
  <c r="I7" i="15"/>
  <c r="J7" i="6"/>
  <c r="H1" i="15" l="1"/>
  <c r="J11" i="3"/>
  <c r="J13" i="3"/>
  <c r="J9" i="5" l="1"/>
  <c r="I28" i="15"/>
  <c r="J7" i="7"/>
  <c r="I37" i="15"/>
  <c r="J13" i="4"/>
  <c r="I25" i="15" l="1"/>
  <c r="K7" i="5"/>
  <c r="I34" i="15"/>
  <c r="J11" i="4"/>
  <c r="J11" i="8"/>
  <c r="J9" i="6" s="1"/>
  <c r="I16" i="15"/>
  <c r="I13" i="15" l="1"/>
  <c r="K13" i="6"/>
  <c r="J22" i="15"/>
  <c r="J11" i="6"/>
  <c r="K7" i="4"/>
  <c r="K9" i="7" s="1"/>
  <c r="J7" i="3" l="1"/>
  <c r="I4" i="15"/>
  <c r="J19" i="15"/>
  <c r="J10" i="15"/>
  <c r="K15" i="3"/>
  <c r="J31" i="15"/>
  <c r="L9" i="4"/>
  <c r="I1" i="15" l="1"/>
  <c r="K11" i="3"/>
  <c r="K13" i="3"/>
  <c r="K7" i="6"/>
  <c r="J7" i="15"/>
  <c r="J37" i="15" l="1"/>
  <c r="K13" i="4"/>
  <c r="J28" i="15"/>
  <c r="K9" i="5"/>
  <c r="K7" i="7"/>
  <c r="J25" i="15" l="1"/>
  <c r="L7" i="5"/>
  <c r="J16" i="15"/>
  <c r="K11" i="8"/>
  <c r="K9" i="6" s="1"/>
  <c r="J34" i="15"/>
  <c r="K11" i="4"/>
  <c r="J13" i="15" l="1"/>
  <c r="L13" i="6"/>
  <c r="L7" i="4"/>
  <c r="L9" i="7" s="1"/>
  <c r="K11" i="6"/>
  <c r="K22" i="15"/>
  <c r="K10" i="15" l="1"/>
  <c r="L15" i="3"/>
  <c r="K31" i="15"/>
  <c r="M9" i="4"/>
  <c r="K19" i="15"/>
  <c r="J4" i="15"/>
  <c r="K7" i="3"/>
  <c r="L7" i="6" l="1"/>
  <c r="K7" i="15"/>
  <c r="N9" i="4"/>
  <c r="J1" i="15"/>
  <c r="L13" i="3"/>
  <c r="L11" i="3"/>
  <c r="K37" i="15" l="1"/>
  <c r="L13" i="4"/>
  <c r="L9" i="5"/>
  <c r="K28" i="15"/>
  <c r="L7" i="7"/>
  <c r="K34" i="15" l="1"/>
  <c r="L11" i="4"/>
  <c r="L11" i="8"/>
  <c r="L9" i="6" s="1"/>
  <c r="K16" i="15"/>
  <c r="K25" i="15"/>
  <c r="M7" i="5"/>
  <c r="L22" i="15" l="1"/>
  <c r="N7" i="5"/>
  <c r="M7" i="4"/>
  <c r="M9" i="7" s="1"/>
  <c r="L11" i="6"/>
  <c r="K13" i="15"/>
  <c r="M13" i="6"/>
  <c r="L19" i="15" l="1"/>
  <c r="N9" i="7"/>
  <c r="L7" i="3"/>
  <c r="K4" i="15"/>
  <c r="O9" i="4"/>
  <c r="N7" i="4"/>
  <c r="L31" i="15"/>
  <c r="M15" i="3"/>
  <c r="L10" i="15"/>
  <c r="N13" i="6"/>
  <c r="L7" i="15" l="1"/>
  <c r="M7" i="6"/>
  <c r="N7" i="6"/>
  <c r="N15" i="3"/>
  <c r="K1" i="15"/>
  <c r="M11" i="3"/>
  <c r="M13" i="3"/>
  <c r="M13" i="4" l="1"/>
  <c r="L37" i="15"/>
  <c r="N11" i="3"/>
  <c r="L28" i="15"/>
  <c r="M9" i="5"/>
  <c r="N13" i="3"/>
  <c r="M7" i="7"/>
  <c r="L34" i="15" l="1"/>
  <c r="N13" i="4"/>
  <c r="M11" i="4"/>
  <c r="L25" i="15"/>
  <c r="N9" i="5"/>
  <c r="O7" i="5"/>
  <c r="L16" i="15"/>
  <c r="M11" i="8"/>
  <c r="N11" i="8" s="1"/>
  <c r="N7" i="7"/>
  <c r="M22" i="15" l="1"/>
  <c r="N11" i="4"/>
  <c r="O7" i="4"/>
  <c r="O9" i="7" s="1"/>
  <c r="M11" i="6"/>
  <c r="M9" i="6"/>
  <c r="M19" i="15" l="1"/>
  <c r="P9" i="4"/>
  <c r="M31" i="15"/>
  <c r="M7" i="3"/>
  <c r="L4" i="15"/>
  <c r="N11" i="6"/>
  <c r="L13" i="15"/>
  <c r="N9" i="6"/>
  <c r="O13" i="6"/>
  <c r="L1" i="15" l="1"/>
  <c r="N7" i="3"/>
  <c r="O13" i="3"/>
  <c r="O11" i="3"/>
  <c r="M10" i="15"/>
  <c r="O15" i="3"/>
  <c r="M28" i="15" l="1"/>
  <c r="O9" i="5"/>
  <c r="O7" i="7"/>
  <c r="O13" i="4"/>
  <c r="M37" i="15"/>
  <c r="O7" i="6"/>
  <c r="M7" i="15"/>
  <c r="O11" i="8" l="1"/>
  <c r="O9" i="6" s="1"/>
  <c r="M16" i="15"/>
  <c r="M34" i="15"/>
  <c r="O11" i="4"/>
  <c r="M25" i="15"/>
  <c r="P7" i="5"/>
  <c r="N22" i="15" l="1"/>
  <c r="M13" i="15"/>
  <c r="P13" i="6"/>
  <c r="P7" i="4"/>
  <c r="P9" i="7" s="1"/>
  <c r="O11" i="6"/>
  <c r="N19" i="15" l="1"/>
  <c r="Q9" i="4"/>
  <c r="N31" i="15"/>
  <c r="M4" i="15"/>
  <c r="O7" i="3"/>
  <c r="N10" i="15"/>
  <c r="P15" i="3"/>
  <c r="N7" i="15" l="1"/>
  <c r="P7" i="6"/>
  <c r="M1" i="15"/>
  <c r="P13" i="3"/>
  <c r="P11" i="3"/>
  <c r="P13" i="4" l="1"/>
  <c r="N37" i="15"/>
  <c r="P9" i="5"/>
  <c r="N28" i="15"/>
  <c r="P7" i="7"/>
  <c r="N16" i="15" l="1"/>
  <c r="P11" i="8"/>
  <c r="N25" i="15"/>
  <c r="Q7" i="5"/>
  <c r="N34" i="15"/>
  <c r="P11" i="4"/>
  <c r="P9" i="6" l="1"/>
  <c r="Q7" i="4"/>
  <c r="Q9" i="7" s="1"/>
  <c r="P11" i="6"/>
  <c r="O22" i="15"/>
  <c r="P7" i="3" l="1"/>
  <c r="N4" i="15"/>
  <c r="N13" i="15"/>
  <c r="Q13" i="6"/>
  <c r="O19" i="15"/>
  <c r="O31" i="15"/>
  <c r="R9" i="4"/>
  <c r="N1" i="15" l="1"/>
  <c r="Q11" i="3"/>
  <c r="Q13" i="3"/>
  <c r="O10" i="15"/>
  <c r="Q15" i="3"/>
  <c r="Q13" i="4" l="1"/>
  <c r="O37" i="15"/>
  <c r="O7" i="15"/>
  <c r="Q7" i="6"/>
  <c r="O28" i="15"/>
  <c r="Q9" i="5"/>
  <c r="Q7" i="7"/>
  <c r="O34" i="15" l="1"/>
  <c r="Q11" i="4"/>
  <c r="O16" i="15"/>
  <c r="Q11" i="8"/>
  <c r="O25" i="15"/>
  <c r="R7" i="5"/>
  <c r="P22" i="15" l="1"/>
  <c r="R7" i="4"/>
  <c r="Q11" i="6"/>
  <c r="Q9" i="6"/>
  <c r="P31" i="15" l="1"/>
  <c r="S9" i="4"/>
  <c r="Q7" i="3"/>
  <c r="O4" i="15"/>
  <c r="R9" i="7"/>
  <c r="O13" i="15"/>
  <c r="R13" i="6"/>
  <c r="R15" i="3" l="1"/>
  <c r="P10" i="15"/>
  <c r="P19" i="15"/>
  <c r="O1" i="15"/>
  <c r="R13" i="3"/>
  <c r="R7" i="7" s="1"/>
  <c r="R11" i="3"/>
  <c r="R11" i="8" l="1"/>
  <c r="R9" i="6" s="1"/>
  <c r="P16" i="15"/>
  <c r="P37" i="15"/>
  <c r="R13" i="4"/>
  <c r="P7" i="15"/>
  <c r="R7" i="6"/>
  <c r="P28" i="15"/>
  <c r="R9" i="5"/>
  <c r="P13" i="15" l="1"/>
  <c r="S13" i="6"/>
  <c r="P34" i="15"/>
  <c r="R11" i="4"/>
  <c r="P25" i="15"/>
  <c r="S7" i="5"/>
  <c r="S7" i="4" l="1"/>
  <c r="S9" i="7" s="1"/>
  <c r="R11" i="6"/>
  <c r="Q10" i="15"/>
  <c r="S15" i="3"/>
  <c r="Q22" i="15"/>
  <c r="Q19" i="15" l="1"/>
  <c r="S7" i="6"/>
  <c r="Q7" i="15"/>
  <c r="Q31" i="15"/>
  <c r="T9" i="4"/>
  <c r="P4" i="15"/>
  <c r="R7" i="3"/>
  <c r="P1" i="15" l="1"/>
  <c r="S11" i="3"/>
  <c r="S13" i="3"/>
  <c r="Q37" i="15" l="1"/>
  <c r="S13" i="4"/>
  <c r="Q28" i="15"/>
  <c r="S9" i="5"/>
  <c r="S7" i="7"/>
  <c r="S11" i="8" l="1"/>
  <c r="S9" i="6" s="1"/>
  <c r="Q16" i="15"/>
  <c r="Q25" i="15"/>
  <c r="T7" i="5"/>
  <c r="Q34" i="15"/>
  <c r="S11" i="4"/>
  <c r="Q13" i="15" l="1"/>
  <c r="T13" i="6"/>
  <c r="T7" i="4"/>
  <c r="S11" i="6"/>
  <c r="R22" i="15"/>
  <c r="S7" i="3" l="1"/>
  <c r="Q4" i="15"/>
  <c r="U9" i="4"/>
  <c r="R31" i="15"/>
  <c r="R10" i="15"/>
  <c r="T15" i="3"/>
  <c r="T9" i="7"/>
  <c r="Q1" i="15" l="1"/>
  <c r="T11" i="3"/>
  <c r="T13" i="3"/>
  <c r="T7" i="7" s="1"/>
  <c r="R19" i="15"/>
  <c r="R7" i="15"/>
  <c r="T7" i="6"/>
  <c r="R16" i="15" l="1"/>
  <c r="T11" i="8"/>
  <c r="T9" i="6" s="1"/>
  <c r="R37" i="15"/>
  <c r="T13" i="4"/>
  <c r="R28" i="15"/>
  <c r="T9" i="5"/>
  <c r="R34" i="15" l="1"/>
  <c r="T11" i="4"/>
  <c r="R25" i="15"/>
  <c r="U7" i="5"/>
  <c r="R13" i="15"/>
  <c r="U13" i="6"/>
  <c r="U7" i="4" l="1"/>
  <c r="T11" i="6"/>
  <c r="U15" i="3"/>
  <c r="S10" i="15"/>
  <c r="S22" i="15"/>
  <c r="V9" i="4" l="1"/>
  <c r="S31" i="15"/>
  <c r="T7" i="3"/>
  <c r="R4" i="15"/>
  <c r="S7" i="15"/>
  <c r="U7" i="6"/>
  <c r="U9" i="7"/>
  <c r="S19" i="15" l="1"/>
  <c r="R1" i="15"/>
  <c r="U13" i="3"/>
  <c r="U11" i="3"/>
  <c r="U13" i="4" l="1"/>
  <c r="S37" i="15"/>
  <c r="S28" i="15"/>
  <c r="U9" i="5"/>
  <c r="U7" i="7"/>
  <c r="S34" i="15" l="1"/>
  <c r="U11" i="4"/>
  <c r="S25" i="15"/>
  <c r="V7" i="5"/>
  <c r="U11" i="8"/>
  <c r="U9" i="6" s="1"/>
  <c r="S16" i="15"/>
  <c r="S13" i="15" l="1"/>
  <c r="V13" i="6"/>
  <c r="U11" i="6"/>
  <c r="V7" i="4"/>
  <c r="V9" i="7" s="1"/>
  <c r="T22" i="15"/>
  <c r="V15" i="3" l="1"/>
  <c r="T10" i="15"/>
  <c r="S4" i="15"/>
  <c r="U7" i="3"/>
  <c r="T19" i="15"/>
  <c r="W9" i="4"/>
  <c r="T31" i="15"/>
  <c r="S1" i="15" l="1"/>
  <c r="V13" i="3"/>
  <c r="V11" i="3"/>
  <c r="V7" i="6"/>
  <c r="T7" i="15"/>
  <c r="T28" i="15" l="1"/>
  <c r="V9" i="5"/>
  <c r="V7" i="7"/>
  <c r="V13" i="4"/>
  <c r="T37" i="15"/>
  <c r="T34" i="15" l="1"/>
  <c r="V11" i="4"/>
  <c r="T25" i="15"/>
  <c r="W7" i="5"/>
  <c r="T16" i="15"/>
  <c r="V11" i="8"/>
  <c r="V9" i="6" s="1"/>
  <c r="T13" i="15" l="1"/>
  <c r="W13" i="6"/>
  <c r="W7" i="4"/>
  <c r="W9" i="7" s="1"/>
  <c r="V11" i="6"/>
  <c r="U22" i="15"/>
  <c r="U10" i="15" l="1"/>
  <c r="W15" i="3"/>
  <c r="U19" i="15"/>
  <c r="X9" i="4"/>
  <c r="U31" i="15"/>
  <c r="V7" i="3"/>
  <c r="T4" i="15"/>
  <c r="T1" i="15" l="1"/>
  <c r="W11" i="3"/>
  <c r="W13" i="3"/>
  <c r="U7" i="15"/>
  <c r="W7" i="6"/>
  <c r="W13" i="4" l="1"/>
  <c r="U37" i="15"/>
  <c r="U28" i="15"/>
  <c r="W9" i="5"/>
  <c r="W7" i="7"/>
  <c r="U25" i="15" l="1"/>
  <c r="X7" i="5"/>
  <c r="W11" i="8"/>
  <c r="W9" i="6" s="1"/>
  <c r="U16" i="15"/>
  <c r="U34" i="15"/>
  <c r="W11" i="4"/>
  <c r="U13" i="15" l="1"/>
  <c r="X13" i="6"/>
  <c r="X7" i="4"/>
  <c r="X9" i="7" s="1"/>
  <c r="W11" i="6"/>
  <c r="V22" i="15"/>
  <c r="V10" i="15" l="1"/>
  <c r="X15" i="3"/>
  <c r="V31" i="15"/>
  <c r="Y9" i="4"/>
  <c r="V19" i="15"/>
  <c r="U4" i="15"/>
  <c r="W7" i="3"/>
  <c r="U1" i="15" l="1"/>
  <c r="X11" i="3"/>
  <c r="X13" i="3"/>
  <c r="X7" i="6"/>
  <c r="V7" i="15"/>
  <c r="X13" i="4" l="1"/>
  <c r="V37" i="15"/>
  <c r="X9" i="5"/>
  <c r="V28" i="15"/>
  <c r="X7" i="7"/>
  <c r="V34" i="15" l="1"/>
  <c r="X11" i="4"/>
  <c r="X11" i="8"/>
  <c r="X9" i="6" s="1"/>
  <c r="V16" i="15"/>
  <c r="V25" i="15"/>
  <c r="Y7" i="5"/>
  <c r="V13" i="15" l="1"/>
  <c r="Y13" i="6"/>
  <c r="Y7" i="4"/>
  <c r="Y9" i="7" s="1"/>
  <c r="X11" i="6"/>
  <c r="W22" i="15"/>
  <c r="Y15" i="3" l="1"/>
  <c r="W10" i="15"/>
  <c r="W19" i="15"/>
  <c r="Z9" i="4"/>
  <c r="W31" i="15"/>
  <c r="X7" i="3"/>
  <c r="V4" i="15"/>
  <c r="AA9" i="4" l="1"/>
  <c r="V1" i="15"/>
  <c r="Y13" i="3"/>
  <c r="Y11" i="3"/>
  <c r="Y7" i="6"/>
  <c r="W7" i="15"/>
  <c r="W37" i="15" l="1"/>
  <c r="Y13" i="4"/>
  <c r="Y9" i="5"/>
  <c r="W28" i="15"/>
  <c r="Y7" i="7"/>
  <c r="W34" i="15" l="1"/>
  <c r="Y11" i="4"/>
  <c r="Y11" i="8"/>
  <c r="Y9" i="6" s="1"/>
  <c r="W16" i="15"/>
  <c r="W25" i="15"/>
  <c r="Z7" i="5"/>
  <c r="W13" i="15" l="1"/>
  <c r="Z13" i="6"/>
  <c r="Z7" i="4"/>
  <c r="Z9" i="7" s="1"/>
  <c r="Y11" i="6"/>
  <c r="X22" i="15"/>
  <c r="AA7" i="5"/>
  <c r="Z15" i="3" l="1"/>
  <c r="X10" i="15"/>
  <c r="AA13" i="6"/>
  <c r="AA7" i="4"/>
  <c r="AB9" i="4"/>
  <c r="X31" i="15"/>
  <c r="X19" i="15"/>
  <c r="AA9" i="7"/>
  <c r="Y7" i="3"/>
  <c r="W4" i="15"/>
  <c r="Z7" i="6" l="1"/>
  <c r="X7" i="15"/>
  <c r="AA15" i="3"/>
  <c r="AA7" i="6"/>
  <c r="W1" i="15"/>
  <c r="Z13" i="3"/>
  <c r="Z11" i="3"/>
  <c r="X28" i="15" l="1"/>
  <c r="Z9" i="5"/>
  <c r="AA13" i="3"/>
  <c r="Z7" i="7"/>
  <c r="Z13" i="4"/>
  <c r="X37" i="15"/>
  <c r="AA11" i="3"/>
  <c r="X34" i="15" l="1"/>
  <c r="AA13" i="4"/>
  <c r="Z11" i="4"/>
  <c r="X25" i="15"/>
  <c r="AA9" i="5"/>
  <c r="AB7" i="5"/>
  <c r="X16" i="15"/>
  <c r="Z11" i="8"/>
  <c r="AA11" i="8" s="1"/>
  <c r="AA7" i="7"/>
  <c r="Y22" i="15" l="1"/>
  <c r="AA11" i="4"/>
  <c r="AB7" i="4"/>
  <c r="AB9" i="7" s="1"/>
  <c r="Z11" i="6"/>
  <c r="Z9" i="6"/>
  <c r="Y19" i="15" l="1"/>
  <c r="Y31" i="15"/>
  <c r="AC9" i="4"/>
  <c r="Z7" i="3"/>
  <c r="X4" i="15"/>
  <c r="AA11" i="6"/>
  <c r="X13" i="15"/>
  <c r="AA9" i="6"/>
  <c r="AB13" i="6"/>
  <c r="X1" i="15" l="1"/>
  <c r="AA7" i="3"/>
  <c r="AB11" i="3"/>
  <c r="AB13" i="3"/>
  <c r="AB15" i="3"/>
  <c r="Y10" i="15"/>
  <c r="AB13" i="4" l="1"/>
  <c r="Y37" i="15"/>
  <c r="Y7" i="15"/>
  <c r="AB7" i="6"/>
  <c r="Y28" i="15"/>
  <c r="AB9" i="5"/>
  <c r="AB7" i="7"/>
  <c r="Y34" i="15" l="1"/>
  <c r="AB11" i="4"/>
  <c r="AB11" i="8"/>
  <c r="AB9" i="6" s="1"/>
  <c r="Y16" i="15"/>
  <c r="Y25" i="15"/>
  <c r="AC7" i="5"/>
  <c r="Y13" i="15" l="1"/>
  <c r="AC13" i="6"/>
  <c r="AC7" i="4"/>
  <c r="AB11" i="6"/>
  <c r="Z22" i="15"/>
  <c r="AB7" i="3" l="1"/>
  <c r="Y4" i="15"/>
  <c r="Z10" i="15"/>
  <c r="AC15" i="3"/>
  <c r="AD9" i="4"/>
  <c r="Z31" i="15"/>
  <c r="AC9" i="7"/>
  <c r="Y1" i="15" l="1"/>
  <c r="AC11" i="3"/>
  <c r="AC13" i="3"/>
  <c r="AC7" i="7" s="1"/>
  <c r="AC7" i="6"/>
  <c r="Z7" i="15"/>
  <c r="Z19" i="15"/>
  <c r="Z16" i="15" l="1"/>
  <c r="AC11" i="8"/>
  <c r="AC9" i="6" s="1"/>
  <c r="AC13" i="4"/>
  <c r="Z37" i="15"/>
  <c r="AC9" i="5"/>
  <c r="Z28" i="15"/>
  <c r="Z13" i="15" l="1"/>
  <c r="AD13" i="6"/>
  <c r="Z25" i="15"/>
  <c r="AD7" i="5"/>
  <c r="Z34" i="15"/>
  <c r="AC11" i="4"/>
  <c r="AD7" i="4" l="1"/>
  <c r="AC11" i="6"/>
  <c r="AA22" i="15"/>
  <c r="AA10" i="15"/>
  <c r="AD15" i="3"/>
  <c r="AA31" i="15" l="1"/>
  <c r="AE9" i="4"/>
  <c r="AC7" i="3"/>
  <c r="Z4" i="15"/>
  <c r="AA7" i="15"/>
  <c r="AD7" i="6"/>
  <c r="AD9" i="7"/>
  <c r="AA19" i="15" l="1"/>
  <c r="Z1" i="15"/>
  <c r="AD13" i="3"/>
  <c r="AD11" i="3"/>
  <c r="AA37" i="15" l="1"/>
  <c r="AD13" i="4"/>
  <c r="AD9" i="5"/>
  <c r="AA28" i="15"/>
  <c r="AD7" i="7"/>
  <c r="AA34" i="15" l="1"/>
  <c r="AD11" i="4"/>
  <c r="AD11" i="8"/>
  <c r="AD9" i="6" s="1"/>
  <c r="AA16" i="15"/>
  <c r="AA25" i="15"/>
  <c r="AE7" i="5"/>
  <c r="AB22" i="15" l="1"/>
  <c r="AA13" i="15"/>
  <c r="AE13" i="6"/>
  <c r="AE7" i="4"/>
  <c r="AD11" i="6"/>
  <c r="AD7" i="3" l="1"/>
  <c r="AA4" i="15"/>
  <c r="AB31" i="15"/>
  <c r="AF9" i="4"/>
  <c r="AB10" i="15"/>
  <c r="AE15" i="3"/>
  <c r="AE9" i="7"/>
  <c r="AA1" i="15" l="1"/>
  <c r="AE11" i="3"/>
  <c r="AE13" i="3"/>
  <c r="AE7" i="7" s="1"/>
  <c r="AB19" i="15"/>
  <c r="AE7" i="6"/>
  <c r="AB7" i="15"/>
  <c r="AB37" i="15" l="1"/>
  <c r="AE13" i="4"/>
  <c r="AE11" i="8"/>
  <c r="AE9" i="6" s="1"/>
  <c r="AB16" i="15"/>
  <c r="AE9" i="5"/>
  <c r="AB28" i="15"/>
  <c r="AB25" i="15" l="1"/>
  <c r="AF7" i="5"/>
  <c r="AB13" i="15"/>
  <c r="AF13" i="6"/>
  <c r="AB34" i="15"/>
  <c r="AE11" i="4"/>
  <c r="AC22" i="15" l="1"/>
  <c r="AC10" i="15"/>
  <c r="AF15" i="3"/>
  <c r="AF7" i="4"/>
  <c r="AE11" i="6"/>
  <c r="AC31" i="15" l="1"/>
  <c r="AG9" i="4"/>
  <c r="AE7" i="3"/>
  <c r="AB4" i="15"/>
  <c r="AC7" i="15"/>
  <c r="AF7" i="6"/>
  <c r="AF9" i="7"/>
  <c r="AC19" i="15" l="1"/>
  <c r="AB1" i="15"/>
  <c r="AF13" i="3"/>
  <c r="AF11" i="3"/>
  <c r="AF9" i="5" l="1"/>
  <c r="AC28" i="15"/>
  <c r="AF7" i="7"/>
  <c r="AC37" i="15"/>
  <c r="AF13" i="4"/>
  <c r="AC16" i="15" l="1"/>
  <c r="AF11" i="8"/>
  <c r="AF9" i="6" s="1"/>
  <c r="AC25" i="15"/>
  <c r="AG7" i="5"/>
  <c r="AC34" i="15"/>
  <c r="AF11" i="4"/>
  <c r="AG7" i="4" l="1"/>
  <c r="AF11" i="6"/>
  <c r="AD22" i="15"/>
  <c r="AC13" i="15"/>
  <c r="AG13" i="6"/>
  <c r="AD31" i="15" l="1"/>
  <c r="AH9" i="4"/>
  <c r="AC4" i="15"/>
  <c r="AF7" i="3"/>
  <c r="AD10" i="15"/>
  <c r="AG15" i="3"/>
  <c r="AG9" i="7"/>
  <c r="AG7" i="6" l="1"/>
  <c r="AD7" i="15"/>
  <c r="AD19" i="15"/>
  <c r="AC1" i="15"/>
  <c r="AG13" i="3"/>
  <c r="AG7" i="7" s="1"/>
  <c r="AG11" i="3"/>
  <c r="AG11" i="8" l="1"/>
  <c r="AG9" i="6" s="1"/>
  <c r="AD16" i="15"/>
  <c r="AD28" i="15"/>
  <c r="AG9" i="5"/>
  <c r="AD37" i="15"/>
  <c r="AG13" i="4"/>
  <c r="AD13" i="15" l="1"/>
  <c r="AH13" i="6"/>
  <c r="AD25" i="15"/>
  <c r="AH7" i="5"/>
  <c r="AD34" i="15"/>
  <c r="AG11" i="4"/>
  <c r="AE10" i="15" l="1"/>
  <c r="AH15" i="3"/>
  <c r="AH7" i="4"/>
  <c r="AH9" i="7" s="1"/>
  <c r="AG11" i="6"/>
  <c r="AE22" i="15"/>
  <c r="AH7" i="6" l="1"/>
  <c r="AE7" i="15"/>
  <c r="AD4" i="15"/>
  <c r="AG7" i="3"/>
  <c r="AE19" i="15"/>
  <c r="AE31" i="15"/>
  <c r="AI9" i="4"/>
  <c r="AD1" i="15" l="1"/>
  <c r="AH11" i="3"/>
  <c r="AH13" i="3"/>
  <c r="AH13" i="4" l="1"/>
  <c r="AE37" i="15"/>
  <c r="AH9" i="5"/>
  <c r="AE28" i="15"/>
  <c r="AH7" i="7"/>
  <c r="AE25" i="15" l="1"/>
  <c r="AI7" i="5"/>
  <c r="AE34" i="15"/>
  <c r="AH11" i="4"/>
  <c r="AH11" i="8"/>
  <c r="AH9" i="6" s="1"/>
  <c r="AE16" i="15"/>
  <c r="AE13" i="15" l="1"/>
  <c r="AI13" i="6"/>
  <c r="AF22" i="15"/>
  <c r="AI7" i="4"/>
  <c r="AH11" i="6"/>
  <c r="AF10" i="15" l="1"/>
  <c r="AI15" i="3"/>
  <c r="AH7" i="3"/>
  <c r="AE4" i="15"/>
  <c r="AJ9" i="4"/>
  <c r="AF31" i="15"/>
  <c r="AI9" i="7"/>
  <c r="AF19" i="15" l="1"/>
  <c r="AF7" i="15"/>
  <c r="AI7" i="6"/>
  <c r="AE1" i="15"/>
  <c r="AI13" i="3"/>
  <c r="AI7" i="7" s="1"/>
  <c r="AI11" i="3"/>
  <c r="AI11" i="8" l="1"/>
  <c r="AI9" i="6" s="1"/>
  <c r="AF16" i="15"/>
  <c r="AI9" i="5"/>
  <c r="AF28" i="15"/>
  <c r="AI13" i="4"/>
  <c r="AF37" i="15"/>
  <c r="AF13" i="15" l="1"/>
  <c r="AJ13" i="6"/>
  <c r="AF34" i="15"/>
  <c r="AI11" i="4"/>
  <c r="AF25" i="15"/>
  <c r="AJ7" i="5"/>
  <c r="AG10" i="15" l="1"/>
  <c r="AJ15" i="3"/>
  <c r="AG22" i="15"/>
  <c r="AJ7" i="4"/>
  <c r="AJ9" i="7" s="1"/>
  <c r="AI11" i="6"/>
  <c r="AJ7" i="6" l="1"/>
  <c r="AG7" i="15"/>
  <c r="AG19" i="15"/>
  <c r="AK9" i="4"/>
  <c r="AG31" i="15"/>
  <c r="AI7" i="3"/>
  <c r="AF4" i="15"/>
  <c r="AF1" i="15" l="1"/>
  <c r="AJ13" i="3"/>
  <c r="AJ11" i="3"/>
  <c r="AJ9" i="5" l="1"/>
  <c r="AG28" i="15"/>
  <c r="AJ7" i="7"/>
  <c r="AJ13" i="4"/>
  <c r="AG37" i="15"/>
  <c r="AG34" i="15" l="1"/>
  <c r="AJ11" i="4"/>
  <c r="AG25" i="15"/>
  <c r="AK7" i="5"/>
  <c r="AG16" i="15"/>
  <c r="AJ11" i="8"/>
  <c r="AJ9" i="6" s="1"/>
  <c r="AG13" i="15" l="1"/>
  <c r="AK13" i="6"/>
  <c r="AK7" i="4"/>
  <c r="AK9" i="7" s="1"/>
  <c r="AJ11" i="6"/>
  <c r="AH22" i="15"/>
  <c r="AH10" i="15" l="1"/>
  <c r="AK15" i="3"/>
  <c r="AL9" i="4"/>
  <c r="AH31" i="15"/>
  <c r="AH19" i="15"/>
  <c r="AJ7" i="3"/>
  <c r="AG4" i="15"/>
  <c r="AG1" i="15" l="1"/>
  <c r="AK13" i="3"/>
  <c r="AK11" i="3"/>
  <c r="AH7" i="15"/>
  <c r="AK7" i="6"/>
  <c r="AH28" i="15" l="1"/>
  <c r="AK9" i="5"/>
  <c r="AK7" i="7"/>
  <c r="AK13" i="4"/>
  <c r="AH37" i="15"/>
  <c r="AH25" i="15" l="1"/>
  <c r="AL7" i="5"/>
  <c r="AH34" i="15"/>
  <c r="AK11" i="4"/>
  <c r="AH16" i="15"/>
  <c r="AK11" i="8"/>
  <c r="AK9" i="6" s="1"/>
  <c r="AH13" i="15" l="1"/>
  <c r="AL13" i="6"/>
  <c r="AI22" i="15"/>
  <c r="AL7" i="4"/>
  <c r="AK11" i="6"/>
  <c r="AI31" i="15" l="1"/>
  <c r="AM9" i="4"/>
  <c r="AI10" i="15"/>
  <c r="AL15" i="3"/>
  <c r="AH4" i="15"/>
  <c r="AK7" i="3"/>
  <c r="AL9" i="7"/>
  <c r="AI19" i="15" l="1"/>
  <c r="AL7" i="6"/>
  <c r="AI7" i="15"/>
  <c r="AN9" i="4"/>
  <c r="AH1" i="15"/>
  <c r="AL11" i="3"/>
  <c r="AL13" i="3"/>
  <c r="AL7" i="7" s="1"/>
  <c r="AL11" i="8" l="1"/>
  <c r="AL9" i="6" s="1"/>
  <c r="AI16" i="15"/>
  <c r="AL13" i="4"/>
  <c r="AI37" i="15"/>
  <c r="AL9" i="5"/>
  <c r="AI28" i="15"/>
  <c r="AI13" i="15" l="1"/>
  <c r="AM13" i="6"/>
  <c r="AI25" i="15"/>
  <c r="AM7" i="5"/>
  <c r="AI34" i="15"/>
  <c r="AL11" i="4"/>
  <c r="AM7" i="4" l="1"/>
  <c r="AM9" i="7" s="1"/>
  <c r="AL11" i="6"/>
  <c r="AJ10" i="15"/>
  <c r="AM15" i="3"/>
  <c r="AN13" i="6"/>
  <c r="AN7" i="5"/>
  <c r="AJ22" i="15"/>
  <c r="AJ19" i="15" l="1"/>
  <c r="AN9" i="7"/>
  <c r="AI4" i="15"/>
  <c r="AL7" i="3"/>
  <c r="AJ31" i="15"/>
  <c r="AO9" i="4"/>
  <c r="AN7" i="4"/>
  <c r="AM7" i="6"/>
  <c r="AJ7" i="15"/>
  <c r="AN7" i="6"/>
  <c r="AN15" i="3"/>
  <c r="AI1" i="15" l="1"/>
  <c r="AM13" i="3"/>
  <c r="AM11" i="3"/>
  <c r="AM13" i="4" l="1"/>
  <c r="AJ37" i="15"/>
  <c r="AN11" i="3"/>
  <c r="AM9" i="5"/>
  <c r="AJ28" i="15"/>
  <c r="AN13" i="3"/>
  <c r="AM7" i="7"/>
  <c r="AJ16" i="15" l="1"/>
  <c r="AM11" i="8"/>
  <c r="AN11" i="8" s="1"/>
  <c r="AN7" i="7"/>
  <c r="AJ25" i="15"/>
  <c r="AN9" i="5"/>
  <c r="AO7" i="5"/>
  <c r="AN13" i="4"/>
  <c r="AJ34" i="15"/>
  <c r="AM11" i="4"/>
  <c r="AM9" i="6" l="1"/>
  <c r="AO13" i="6" s="1"/>
  <c r="AN11" i="4"/>
  <c r="AM11" i="6"/>
  <c r="AO7" i="4"/>
  <c r="AK22" i="15"/>
  <c r="AN9" i="6" l="1"/>
  <c r="AJ13" i="15"/>
  <c r="AK10" i="15"/>
  <c r="AO15" i="3"/>
  <c r="AJ4" i="15"/>
  <c r="AM7" i="3"/>
  <c r="AN11" i="6"/>
  <c r="AK31" i="15"/>
  <c r="AP9" i="4"/>
  <c r="AO9" i="7"/>
  <c r="AJ1" i="15" l="1"/>
  <c r="AN7" i="3"/>
  <c r="AO13" i="3"/>
  <c r="AO7" i="7" s="1"/>
  <c r="AO11" i="3"/>
  <c r="AK7" i="15"/>
  <c r="AO7" i="6"/>
  <c r="AK19" i="15"/>
  <c r="AK16" i="15" l="1"/>
  <c r="AO11" i="8"/>
  <c r="AO9" i="6" s="1"/>
  <c r="AO13" i="4"/>
  <c r="AK37" i="15"/>
  <c r="AK28" i="15"/>
  <c r="AO9" i="5"/>
  <c r="AK13" i="15" l="1"/>
  <c r="AP13" i="6"/>
  <c r="AK25" i="15"/>
  <c r="AP7" i="5"/>
  <c r="AK34" i="15"/>
  <c r="AO11" i="4"/>
  <c r="AL10" i="15" l="1"/>
  <c r="AP15" i="3"/>
  <c r="AL22" i="15"/>
  <c r="AP7" i="4"/>
  <c r="AO11" i="6"/>
  <c r="AL31" i="15" l="1"/>
  <c r="AQ9" i="4"/>
  <c r="AO7" i="3"/>
  <c r="AK4" i="15"/>
  <c r="AP7" i="6"/>
  <c r="AL7" i="15"/>
  <c r="AP9" i="7"/>
  <c r="AL19" i="15" l="1"/>
  <c r="AK1" i="15"/>
  <c r="AP11" i="3"/>
  <c r="AP13" i="3"/>
  <c r="AP9" i="5" l="1"/>
  <c r="AL28" i="15"/>
  <c r="AL37" i="15"/>
  <c r="AP13" i="4"/>
  <c r="AP7" i="7"/>
  <c r="AP11" i="8" l="1"/>
  <c r="AP9" i="6" s="1"/>
  <c r="AL16" i="15"/>
  <c r="AL25" i="15"/>
  <c r="AQ7" i="5"/>
  <c r="AL34" i="15"/>
  <c r="AP11" i="4"/>
  <c r="AL13" i="15" l="1"/>
  <c r="AQ13" i="6"/>
  <c r="AQ7" i="4"/>
  <c r="AQ9" i="7" s="1"/>
  <c r="AP11" i="6"/>
  <c r="AM22" i="15"/>
  <c r="AL4" i="15" l="1"/>
  <c r="AP7" i="3"/>
  <c r="AM19" i="15"/>
  <c r="AQ15" i="3"/>
  <c r="AM10" i="15"/>
  <c r="AM31" i="15"/>
  <c r="AR9" i="4"/>
  <c r="AL1" i="15" l="1"/>
  <c r="AQ11" i="3"/>
  <c r="AQ13" i="3"/>
  <c r="AM7" i="15"/>
  <c r="AQ7" i="6"/>
  <c r="AM37" i="15" l="1"/>
  <c r="AQ13" i="4"/>
  <c r="AQ9" i="5"/>
  <c r="AM28" i="15"/>
  <c r="AQ7" i="7"/>
  <c r="AM25" i="15" l="1"/>
  <c r="AR7" i="5"/>
  <c r="AM34" i="15"/>
  <c r="AQ11" i="4"/>
  <c r="AM16" i="15"/>
  <c r="AQ11" i="8"/>
  <c r="AQ9" i="6" s="1"/>
  <c r="AR7" i="4" l="1"/>
  <c r="AQ11" i="6"/>
  <c r="AM13" i="15"/>
  <c r="AR13" i="6"/>
  <c r="AN22" i="15"/>
  <c r="AN31" i="15" l="1"/>
  <c r="AS9" i="4"/>
  <c r="AQ7" i="3"/>
  <c r="AM4" i="15"/>
  <c r="AN10" i="15"/>
  <c r="AR15" i="3"/>
  <c r="AR9" i="7"/>
  <c r="AR7" i="6" l="1"/>
  <c r="AN7" i="15"/>
  <c r="AN19" i="15"/>
  <c r="AM1" i="15"/>
  <c r="AR11" i="3"/>
  <c r="AR13" i="3"/>
  <c r="AR7" i="7" s="1"/>
  <c r="AN37" i="15" l="1"/>
  <c r="AR13" i="4"/>
  <c r="AN16" i="15"/>
  <c r="AR11" i="8"/>
  <c r="AR9" i="6" s="1"/>
  <c r="AR9" i="5"/>
  <c r="AN28" i="15"/>
  <c r="AN13" i="15" l="1"/>
  <c r="AS13" i="6"/>
  <c r="AN34" i="15"/>
  <c r="AR11" i="4"/>
  <c r="AN25" i="15"/>
  <c r="AS7" i="5"/>
  <c r="AS7" i="4" l="1"/>
  <c r="AR11" i="6"/>
  <c r="AO10" i="15"/>
  <c r="AS15" i="3"/>
  <c r="AO22" i="15"/>
  <c r="AO31" i="15" l="1"/>
  <c r="AT9" i="4"/>
  <c r="AS7" i="6"/>
  <c r="AO7" i="15"/>
  <c r="AN4" i="15"/>
  <c r="AR7" i="3"/>
  <c r="AS9" i="7"/>
  <c r="AN1" i="15" l="1"/>
  <c r="AS11" i="3"/>
  <c r="AS13" i="3"/>
  <c r="AS7" i="7" s="1"/>
  <c r="AO19" i="15"/>
  <c r="AS11" i="8" l="1"/>
  <c r="AS9" i="6" s="1"/>
  <c r="AO16" i="15"/>
  <c r="AO37" i="15"/>
  <c r="AS13" i="4"/>
  <c r="AO28" i="15"/>
  <c r="AS9" i="5"/>
  <c r="AO13" i="15" l="1"/>
  <c r="AT13" i="6"/>
  <c r="AO25" i="15"/>
  <c r="AT7" i="5"/>
  <c r="AO34" i="15"/>
  <c r="AS11" i="4"/>
  <c r="AP22" i="15" l="1"/>
  <c r="AP10" i="15"/>
  <c r="AT15" i="3"/>
  <c r="AT7" i="4"/>
  <c r="AT9" i="7" s="1"/>
  <c r="AS11" i="6"/>
  <c r="AP7" i="15" l="1"/>
  <c r="AT7" i="6"/>
  <c r="AP19" i="15"/>
  <c r="AO4" i="15"/>
  <c r="AS7" i="3"/>
  <c r="AU9" i="4"/>
  <c r="AP31" i="15"/>
  <c r="AO1" i="15" l="1"/>
  <c r="AT11" i="3"/>
  <c r="AT13" i="3"/>
  <c r="AP28" i="15" l="1"/>
  <c r="AT9" i="5"/>
  <c r="AT7" i="7"/>
  <c r="AT13" i="4"/>
  <c r="AP37" i="15"/>
  <c r="AP34" i="15" l="1"/>
  <c r="AT11" i="4"/>
  <c r="AP25" i="15"/>
  <c r="AU7" i="5"/>
  <c r="AT11" i="8"/>
  <c r="AT9" i="6" s="1"/>
  <c r="AP16" i="15"/>
  <c r="AP13" i="15" l="1"/>
  <c r="AU13" i="6"/>
  <c r="AT11" i="6"/>
  <c r="AU7" i="4"/>
  <c r="AU9" i="7" s="1"/>
  <c r="AQ22" i="15"/>
  <c r="AU15" i="3" l="1"/>
  <c r="AQ10" i="15"/>
  <c r="AQ19" i="15"/>
  <c r="AP4" i="15"/>
  <c r="AT7" i="3"/>
  <c r="AQ31" i="15"/>
  <c r="AV9" i="4"/>
  <c r="AQ7" i="15" l="1"/>
  <c r="AU7" i="6"/>
  <c r="AP1" i="15"/>
  <c r="AU11" i="3"/>
  <c r="AU13" i="3"/>
  <c r="AU13" i="4" l="1"/>
  <c r="AQ37" i="15"/>
  <c r="AQ28" i="15"/>
  <c r="AU9" i="5"/>
  <c r="AU7" i="7"/>
  <c r="AQ25" i="15" l="1"/>
  <c r="AV7" i="5"/>
  <c r="AQ16" i="15"/>
  <c r="AU11" i="8"/>
  <c r="AU9" i="6" s="1"/>
  <c r="AQ34" i="15"/>
  <c r="AU11" i="4"/>
  <c r="AQ13" i="15" l="1"/>
  <c r="AV13" i="6"/>
  <c r="AR22" i="15"/>
  <c r="AV7" i="4"/>
  <c r="AU11" i="6"/>
  <c r="AW9" i="4" l="1"/>
  <c r="AR31" i="15"/>
  <c r="AV15" i="3"/>
  <c r="AR10" i="15"/>
  <c r="AU7" i="3"/>
  <c r="AQ4" i="15"/>
  <c r="AV9" i="7"/>
  <c r="AR19" i="15" l="1"/>
  <c r="AR7" i="15"/>
  <c r="AV7" i="6"/>
  <c r="AQ1" i="15"/>
  <c r="AV11" i="3"/>
  <c r="AV13" i="3"/>
  <c r="AV9" i="5" l="1"/>
  <c r="AR28" i="15"/>
  <c r="AR37" i="15"/>
  <c r="AV13" i="4"/>
  <c r="AV7" i="7"/>
  <c r="AR34" i="15" l="1"/>
  <c r="AV11" i="4"/>
  <c r="AR25" i="15"/>
  <c r="AW7" i="5"/>
  <c r="AV11" i="8"/>
  <c r="AV9" i="6" s="1"/>
  <c r="AR16" i="15"/>
  <c r="AR13" i="15" l="1"/>
  <c r="AW13" i="6"/>
  <c r="AW7" i="4"/>
  <c r="AW9" i="7" s="1"/>
  <c r="AV11" i="6"/>
  <c r="AS22" i="15"/>
  <c r="AW15" i="3" l="1"/>
  <c r="AS10" i="15"/>
  <c r="AS19" i="15"/>
  <c r="AX9" i="4"/>
  <c r="AS31" i="15"/>
  <c r="AV7" i="3"/>
  <c r="AR4" i="15"/>
  <c r="AS7" i="15" l="1"/>
  <c r="AW7" i="6"/>
  <c r="AR1" i="15"/>
  <c r="AW11" i="3"/>
  <c r="AW13" i="3"/>
  <c r="AS37" i="15" l="1"/>
  <c r="AW13" i="4"/>
  <c r="AS28" i="15"/>
  <c r="AW9" i="5"/>
  <c r="AW7" i="7"/>
  <c r="AS34" i="15" l="1"/>
  <c r="AW11" i="4"/>
  <c r="AS25" i="15"/>
  <c r="AX7" i="5"/>
  <c r="AS16" i="15"/>
  <c r="AW11" i="8"/>
  <c r="AW9" i="6" s="1"/>
  <c r="AS13" i="15" l="1"/>
  <c r="AX13" i="6"/>
  <c r="AX7" i="4"/>
  <c r="AX9" i="7" s="1"/>
  <c r="AW11" i="6"/>
  <c r="AT22" i="15"/>
  <c r="AX15" i="3" l="1"/>
  <c r="AT10" i="15"/>
  <c r="AT19" i="15"/>
  <c r="AT31" i="15"/>
  <c r="AY9" i="4"/>
  <c r="AW7" i="3"/>
  <c r="AS4" i="15"/>
  <c r="AX7" i="6" l="1"/>
  <c r="AT7" i="15"/>
  <c r="AS1" i="15"/>
  <c r="AX13" i="3"/>
  <c r="AX11" i="3"/>
  <c r="AX9" i="5" l="1"/>
  <c r="AT28" i="15"/>
  <c r="AX7" i="7"/>
  <c r="AT37" i="15"/>
  <c r="AX13" i="4"/>
  <c r="AT25" i="15" l="1"/>
  <c r="AY7" i="5"/>
  <c r="AT34" i="15"/>
  <c r="AX11" i="4"/>
  <c r="AT16" i="15"/>
  <c r="AX11" i="8"/>
  <c r="AX9" i="6" s="1"/>
  <c r="AU22" i="15" l="1"/>
  <c r="AT13" i="15"/>
  <c r="AY13" i="6"/>
  <c r="AY7" i="4"/>
  <c r="AY9" i="7" s="1"/>
  <c r="AX11" i="6"/>
  <c r="AU19" i="15" l="1"/>
  <c r="AY15" i="3"/>
  <c r="AU10" i="15"/>
  <c r="AT4" i="15"/>
  <c r="AX7" i="3"/>
  <c r="AZ9" i="4"/>
  <c r="AU31" i="15"/>
  <c r="AT1" i="15" l="1"/>
  <c r="AY11" i="3"/>
  <c r="AY13" i="3"/>
  <c r="AU7" i="15"/>
  <c r="AY7" i="6"/>
  <c r="BA9" i="4"/>
  <c r="AY13" i="4" l="1"/>
  <c r="AU37" i="15"/>
  <c r="AY9" i="5"/>
  <c r="AU28" i="15"/>
  <c r="AY7" i="7"/>
  <c r="AU34" i="15" l="1"/>
  <c r="AY11" i="4"/>
  <c r="AY11" i="8"/>
  <c r="AY9" i="6" s="1"/>
  <c r="AU16" i="15"/>
  <c r="AU25" i="15"/>
  <c r="AZ7" i="5"/>
  <c r="AZ7" i="4" l="1"/>
  <c r="AY11" i="6"/>
  <c r="AV22" i="15"/>
  <c r="BA7" i="5"/>
  <c r="AU13" i="15"/>
  <c r="AZ13" i="6"/>
  <c r="BA7" i="4" l="1"/>
  <c r="BB9" i="4"/>
  <c r="AV31" i="15"/>
  <c r="AY7" i="3"/>
  <c r="AU4" i="15"/>
  <c r="AZ15" i="3"/>
  <c r="AV10" i="15"/>
  <c r="BA13" i="6"/>
  <c r="AZ9" i="7"/>
  <c r="AU1" i="15" l="1"/>
  <c r="AZ11" i="3"/>
  <c r="AZ13" i="3"/>
  <c r="AV19" i="15"/>
  <c r="BA9" i="7"/>
  <c r="AZ7" i="6"/>
  <c r="AV7" i="15"/>
  <c r="BA7" i="6"/>
  <c r="BA15" i="3"/>
  <c r="AV28" i="15" l="1"/>
  <c r="AZ9" i="5"/>
  <c r="BA13" i="3"/>
  <c r="AZ7" i="7"/>
  <c r="AV37" i="15"/>
  <c r="AZ13" i="4"/>
  <c r="BA11" i="3"/>
  <c r="AV16" i="15" l="1"/>
  <c r="AZ11" i="8"/>
  <c r="BA11" i="8" s="1"/>
  <c r="BA7" i="7"/>
  <c r="AV25" i="15"/>
  <c r="BA9" i="5"/>
  <c r="BB7" i="5"/>
  <c r="BA13" i="4"/>
  <c r="AV34" i="15"/>
  <c r="AZ11" i="4"/>
  <c r="BA11" i="4" l="1"/>
  <c r="BB7" i="4"/>
  <c r="AZ11" i="6"/>
  <c r="AW22" i="15"/>
  <c r="AZ9" i="6"/>
  <c r="AW31" i="15" l="1"/>
  <c r="BC9" i="4"/>
  <c r="AV13" i="15"/>
  <c r="BA9" i="6"/>
  <c r="BB13" i="6"/>
  <c r="AV4" i="15"/>
  <c r="AZ7" i="3"/>
  <c r="BA11" i="6"/>
  <c r="BB9" i="7"/>
  <c r="AW19" i="15" l="1"/>
  <c r="AW10" i="15"/>
  <c r="BB15" i="3"/>
  <c r="AV1" i="15"/>
  <c r="BA7" i="3"/>
  <c r="BB11" i="3"/>
  <c r="BB13" i="3"/>
  <c r="BB7" i="7" s="1"/>
  <c r="BB11" i="8" l="1"/>
  <c r="BB9" i="6" s="1"/>
  <c r="AW16" i="15"/>
  <c r="AW7" i="15"/>
  <c r="BB7" i="6"/>
  <c r="AW28" i="15"/>
  <c r="BB9" i="5"/>
  <c r="BB13" i="4"/>
  <c r="AW37" i="15"/>
  <c r="AW34" i="15" l="1"/>
  <c r="BB11" i="4"/>
  <c r="AW13" i="15"/>
  <c r="BC13" i="6"/>
  <c r="AW25" i="15"/>
  <c r="BC7" i="5"/>
  <c r="AX22" i="15" l="1"/>
  <c r="BC7" i="4"/>
  <c r="BC9" i="7" s="1"/>
  <c r="BB11" i="6"/>
  <c r="AX10" i="15"/>
  <c r="BC15" i="3"/>
  <c r="AX19" i="15" l="1"/>
  <c r="BC7" i="6"/>
  <c r="AX7" i="15"/>
  <c r="BD9" i="4"/>
  <c r="AX31" i="15"/>
  <c r="AW4" i="15"/>
  <c r="BB7" i="3"/>
  <c r="AW1" i="15" l="1"/>
  <c r="BC13" i="3"/>
  <c r="BC11" i="3"/>
  <c r="AX28" i="15" l="1"/>
  <c r="BC9" i="5"/>
  <c r="BC7" i="7"/>
  <c r="BC13" i="4"/>
  <c r="AX37" i="15"/>
  <c r="AX25" i="15" l="1"/>
  <c r="BD7" i="5"/>
  <c r="AX16" i="15"/>
  <c r="BC11" i="8"/>
  <c r="BC9" i="6" s="1"/>
  <c r="AX34" i="15"/>
  <c r="BC11" i="4"/>
  <c r="BC11" i="6" l="1"/>
  <c r="BD7" i="4"/>
  <c r="AX13" i="15"/>
  <c r="BD13" i="6"/>
  <c r="AY22" i="15"/>
  <c r="BD9" i="7"/>
  <c r="BC7" i="3" l="1"/>
  <c r="AX4" i="15"/>
  <c r="AY31" i="15"/>
  <c r="BE9" i="4"/>
  <c r="AY19" i="15"/>
  <c r="AY10" i="15"/>
  <c r="BD15" i="3"/>
  <c r="AX1" i="15" l="1"/>
  <c r="BD13" i="3"/>
  <c r="BD11" i="3"/>
  <c r="BD7" i="6"/>
  <c r="AY7" i="15"/>
  <c r="AY37" i="15" l="1"/>
  <c r="BD13" i="4"/>
  <c r="BD9" i="5"/>
  <c r="AY28" i="15"/>
  <c r="BD7" i="7"/>
  <c r="AY16" i="15" l="1"/>
  <c r="BD11" i="8"/>
  <c r="BD9" i="6" s="1"/>
  <c r="AY25" i="15"/>
  <c r="BE7" i="5"/>
  <c r="AY34" i="15"/>
  <c r="BD11" i="4"/>
  <c r="AY13" i="15" l="1"/>
  <c r="BE13" i="6"/>
  <c r="BE7" i="4"/>
  <c r="BE9" i="7" s="1"/>
  <c r="BD11" i="6"/>
  <c r="AZ22" i="15"/>
  <c r="AZ19" i="15" l="1"/>
  <c r="AY4" i="15"/>
  <c r="BD7" i="3"/>
  <c r="BE15" i="3"/>
  <c r="AZ10" i="15"/>
  <c r="AZ31" i="15"/>
  <c r="BF9" i="4"/>
  <c r="AY1" i="15" l="1"/>
  <c r="BE13" i="3"/>
  <c r="BE11" i="3"/>
  <c r="AZ7" i="15"/>
  <c r="BE7" i="6"/>
  <c r="BE9" i="5" l="1"/>
  <c r="AZ28" i="15"/>
  <c r="BE7" i="7"/>
  <c r="BE13" i="4"/>
  <c r="AZ37" i="15"/>
  <c r="AZ25" i="15" l="1"/>
  <c r="BF7" i="5"/>
  <c r="AZ34" i="15"/>
  <c r="BE11" i="4"/>
  <c r="BE11" i="8"/>
  <c r="BE9" i="6" s="1"/>
  <c r="AZ16" i="15"/>
  <c r="AZ13" i="15" l="1"/>
  <c r="BF13" i="6"/>
  <c r="BA22" i="15"/>
  <c r="BF7" i="4"/>
  <c r="BE11" i="6"/>
  <c r="AZ4" i="15" l="1"/>
  <c r="BE7" i="3"/>
  <c r="BF15" i="3"/>
  <c r="BA10" i="15"/>
  <c r="BA31" i="15"/>
  <c r="BG9" i="4"/>
  <c r="BF9" i="7"/>
  <c r="AZ1" i="15" l="1"/>
  <c r="BF11" i="3"/>
  <c r="BF13" i="3"/>
  <c r="BF7" i="7" s="1"/>
  <c r="BA19" i="15"/>
  <c r="BF7" i="6"/>
  <c r="BA7" i="15"/>
  <c r="BF11" i="8" l="1"/>
  <c r="BF9" i="6" s="1"/>
  <c r="BA16" i="15"/>
  <c r="BF13" i="4"/>
  <c r="BA37" i="15"/>
  <c r="BF9" i="5"/>
  <c r="BA28" i="15"/>
  <c r="BA25" i="15" l="1"/>
  <c r="BG7" i="5"/>
  <c r="BA13" i="15"/>
  <c r="BG13" i="6"/>
  <c r="BA34" i="15"/>
  <c r="BF11" i="4"/>
  <c r="BB22" i="15" l="1"/>
  <c r="BB10" i="15"/>
  <c r="BG15" i="3"/>
  <c r="BG7" i="4"/>
  <c r="BG9" i="7" s="1"/>
  <c r="BF11" i="6"/>
  <c r="BB19" i="15" l="1"/>
  <c r="BG7" i="6"/>
  <c r="BB7" i="15"/>
  <c r="BA4" i="15"/>
  <c r="BF7" i="3"/>
  <c r="BB31" i="15"/>
  <c r="BH9" i="4"/>
  <c r="BA1" i="15" l="1"/>
  <c r="BG13" i="3"/>
  <c r="BG11" i="3"/>
  <c r="BG9" i="5" l="1"/>
  <c r="BB28" i="15"/>
  <c r="BG7" i="7"/>
  <c r="BB37" i="15"/>
  <c r="BG13" i="4"/>
  <c r="BB25" i="15" l="1"/>
  <c r="BH7" i="5"/>
  <c r="BB34" i="15"/>
  <c r="BG11" i="4"/>
  <c r="BG11" i="8"/>
  <c r="BG9" i="6" s="1"/>
  <c r="BB16" i="15"/>
  <c r="BB13" i="15" l="1"/>
  <c r="BH13" i="6"/>
  <c r="BC22" i="15"/>
  <c r="BG11" i="6"/>
  <c r="BH7" i="4"/>
  <c r="BH15" i="3" l="1"/>
  <c r="BC10" i="15"/>
  <c r="BG7" i="3"/>
  <c r="BB4" i="15"/>
  <c r="BI9" i="4"/>
  <c r="BC31" i="15"/>
  <c r="BH9" i="7"/>
  <c r="BC7" i="15" l="1"/>
  <c r="BH7" i="6"/>
  <c r="BC19" i="15"/>
  <c r="BB1" i="15"/>
  <c r="BH11" i="3"/>
  <c r="BH13" i="3"/>
  <c r="BH7" i="7" s="1"/>
  <c r="BH11" i="8" l="1"/>
  <c r="BH9" i="6" s="1"/>
  <c r="BC16" i="15"/>
  <c r="BC37" i="15"/>
  <c r="BH13" i="4"/>
  <c r="BH9" i="5"/>
  <c r="BC28" i="15"/>
  <c r="BC13" i="15" l="1"/>
  <c r="BI13" i="6"/>
  <c r="BC34" i="15"/>
  <c r="BH11" i="4"/>
  <c r="BC25" i="15"/>
  <c r="BI7" i="5"/>
  <c r="BD22" i="15" l="1"/>
  <c r="BI15" i="3"/>
  <c r="BD10" i="15"/>
  <c r="BI7" i="4"/>
  <c r="BI9" i="7" s="1"/>
  <c r="BH11" i="6"/>
  <c r="BD19" i="15" l="1"/>
  <c r="BJ9" i="4"/>
  <c r="BD31" i="15"/>
  <c r="BC4" i="15"/>
  <c r="BH7" i="3"/>
  <c r="BI7" i="6"/>
  <c r="BD7" i="15"/>
  <c r="BC1" i="15" l="1"/>
  <c r="BI13" i="3"/>
  <c r="BI11" i="3"/>
  <c r="BI9" i="5" l="1"/>
  <c r="BD28" i="15"/>
  <c r="BI7" i="7"/>
  <c r="BI13" i="4"/>
  <c r="BD37" i="15"/>
  <c r="BD34" i="15" l="1"/>
  <c r="BI11" i="4"/>
  <c r="BD25" i="15"/>
  <c r="BJ7" i="5"/>
  <c r="BD16" i="15"/>
  <c r="BI11" i="8"/>
  <c r="BI9" i="6" s="1"/>
  <c r="BD13" i="15" l="1"/>
  <c r="BJ13" i="6"/>
  <c r="BJ7" i="4"/>
  <c r="BJ9" i="7" s="1"/>
  <c r="BI11" i="6"/>
  <c r="BE22" i="15"/>
  <c r="BK9" i="4" l="1"/>
  <c r="BE31" i="15"/>
  <c r="BE19" i="15"/>
  <c r="BE10" i="15"/>
  <c r="BJ15" i="3"/>
  <c r="BD4" i="15"/>
  <c r="BI7" i="3"/>
  <c r="BD1" i="15" l="1"/>
  <c r="BJ11" i="3"/>
  <c r="BJ13" i="3"/>
  <c r="BJ7" i="6"/>
  <c r="BE7" i="15"/>
  <c r="BE37" i="15" l="1"/>
  <c r="BJ13" i="4"/>
  <c r="BJ9" i="5"/>
  <c r="BE28" i="15"/>
  <c r="BJ7" i="7"/>
  <c r="BE34" i="15" l="1"/>
  <c r="BJ11" i="4"/>
  <c r="BE16" i="15"/>
  <c r="BJ11" i="8"/>
  <c r="BJ9" i="6" s="1"/>
  <c r="BE25" i="15"/>
  <c r="BK7" i="5"/>
  <c r="BE13" i="15" l="1"/>
  <c r="BK13" i="6"/>
  <c r="BK7" i="4"/>
  <c r="BK9" i="7" s="1"/>
  <c r="BJ11" i="6"/>
  <c r="BF22" i="15"/>
  <c r="BF19" i="15" l="1"/>
  <c r="BF10" i="15"/>
  <c r="BK15" i="3"/>
  <c r="BF31" i="15"/>
  <c r="BL9" i="4"/>
  <c r="BE4" i="15"/>
  <c r="BJ7" i="3"/>
  <c r="BE1" i="15" l="1"/>
  <c r="BK13" i="3"/>
  <c r="BK11" i="3"/>
  <c r="BF7" i="15"/>
  <c r="BK7" i="6"/>
  <c r="BF28" i="15" l="1"/>
  <c r="BK9" i="5"/>
  <c r="BK7" i="7"/>
  <c r="BF37" i="15"/>
  <c r="BK13" i="4"/>
  <c r="BF25" i="15" l="1"/>
  <c r="BL7" i="5"/>
  <c r="BF34" i="15"/>
  <c r="BK11" i="4"/>
  <c r="BK11" i="8"/>
  <c r="BK9" i="6" s="1"/>
  <c r="BF16" i="15"/>
  <c r="BF13" i="15" l="1"/>
  <c r="BL13" i="6"/>
  <c r="BG22" i="15"/>
  <c r="BL7" i="4"/>
  <c r="BK11" i="6"/>
  <c r="BG10" i="15" l="1"/>
  <c r="BL15" i="3"/>
  <c r="BK7" i="3"/>
  <c r="BF4" i="15"/>
  <c r="BM9" i="4"/>
  <c r="BG31" i="15"/>
  <c r="BL9" i="7"/>
  <c r="BG7" i="15" l="1"/>
  <c r="BL7" i="6"/>
  <c r="BG19" i="15"/>
  <c r="BN9" i="4"/>
  <c r="BF1" i="15"/>
  <c r="BL11" i="3"/>
  <c r="BL13" i="3"/>
  <c r="BG37" i="15" l="1"/>
  <c r="BL13" i="4"/>
  <c r="BL9" i="5"/>
  <c r="BG28" i="15"/>
  <c r="BL7" i="7"/>
  <c r="BG16" i="15" l="1"/>
  <c r="BL11" i="8"/>
  <c r="BL9" i="6" s="1"/>
  <c r="BG34" i="15"/>
  <c r="BL11" i="4"/>
  <c r="BG25" i="15"/>
  <c r="BM7" i="5"/>
  <c r="BG13" i="15" l="1"/>
  <c r="BM13" i="6"/>
  <c r="BH22" i="15"/>
  <c r="BN7" i="5"/>
  <c r="BM7" i="4"/>
  <c r="BM9" i="7" s="1"/>
  <c r="BL11" i="6"/>
  <c r="BH19" i="15" l="1"/>
  <c r="BN9" i="7"/>
  <c r="BM15" i="3"/>
  <c r="BH10" i="15"/>
  <c r="BN13" i="6"/>
  <c r="BO9" i="4"/>
  <c r="BH31" i="15"/>
  <c r="BN7" i="4"/>
  <c r="BL7" i="3"/>
  <c r="BG4" i="15"/>
  <c r="BG1" i="15" l="1"/>
  <c r="BM11" i="3"/>
  <c r="BM13" i="3"/>
  <c r="BH7" i="15"/>
  <c r="BM7" i="6"/>
  <c r="BN7" i="6"/>
  <c r="BN15" i="3"/>
  <c r="BH37" i="15" l="1"/>
  <c r="BM13" i="4"/>
  <c r="BN11" i="3"/>
  <c r="BM9" i="5"/>
  <c r="BH28" i="15"/>
  <c r="BN13" i="3"/>
  <c r="BM7" i="7"/>
  <c r="BM11" i="8" l="1"/>
  <c r="BN11" i="8" s="1"/>
  <c r="BH16" i="15"/>
  <c r="BN7" i="7"/>
  <c r="BH34" i="15"/>
  <c r="BN13" i="4"/>
  <c r="BM11" i="4"/>
  <c r="BH25" i="15"/>
  <c r="BN9" i="5"/>
  <c r="BO7" i="5"/>
  <c r="BM9" i="6" l="1"/>
  <c r="BN11" i="4"/>
  <c r="BO7" i="4"/>
  <c r="BO9" i="7" s="1"/>
  <c r="BM11" i="6"/>
  <c r="BI22" i="15"/>
  <c r="BH13" i="15" l="1"/>
  <c r="BN9" i="6"/>
  <c r="BO13" i="6"/>
  <c r="BI19" i="15"/>
  <c r="BI31" i="15"/>
  <c r="BP9" i="4"/>
  <c r="BH4" i="15"/>
  <c r="BM7" i="3"/>
  <c r="BN11" i="6"/>
  <c r="BO15" i="3" l="1"/>
  <c r="BI10" i="15"/>
  <c r="BH1" i="15"/>
  <c r="BN7" i="3"/>
  <c r="BO11" i="3"/>
  <c r="BO13" i="3"/>
  <c r="BO13" i="4" l="1"/>
  <c r="BI37" i="15"/>
  <c r="BI7" i="15"/>
  <c r="BO7" i="6"/>
  <c r="BI28" i="15"/>
  <c r="BO9" i="5"/>
  <c r="BO7" i="7"/>
  <c r="BI34" i="15" l="1"/>
  <c r="BO11" i="4"/>
  <c r="BI25" i="15"/>
  <c r="BP7" i="5"/>
  <c r="BO11" i="8"/>
  <c r="BI16" i="15"/>
  <c r="BP7" i="4" l="1"/>
  <c r="BO11" i="6"/>
  <c r="BJ22" i="15"/>
  <c r="BO9" i="6"/>
  <c r="BJ31" i="15" l="1"/>
  <c r="BQ9" i="4"/>
  <c r="BO7" i="3"/>
  <c r="BI4" i="15"/>
  <c r="BI13" i="15"/>
  <c r="BP13" i="6"/>
  <c r="BP9" i="7"/>
  <c r="BP15" i="3" l="1"/>
  <c r="BJ10" i="15"/>
  <c r="BJ19" i="15"/>
  <c r="BI1" i="15"/>
  <c r="BP11" i="3"/>
  <c r="BP13" i="3"/>
  <c r="BP9" i="5" l="1"/>
  <c r="BJ28" i="15"/>
  <c r="BJ7" i="15"/>
  <c r="BP7" i="6"/>
  <c r="BP7" i="7"/>
  <c r="BJ37" i="15"/>
  <c r="BP13" i="4"/>
  <c r="BJ34" i="15" l="1"/>
  <c r="BP11" i="4"/>
  <c r="BP11" i="8"/>
  <c r="BP9" i="6" s="1"/>
  <c r="BJ16" i="15"/>
  <c r="BJ25" i="15"/>
  <c r="BQ7" i="5"/>
  <c r="BQ7" i="4" l="1"/>
  <c r="BP11" i="6"/>
  <c r="BK22" i="15"/>
  <c r="BJ13" i="15"/>
  <c r="BQ13" i="6"/>
  <c r="BR9" i="4" l="1"/>
  <c r="BK31" i="15"/>
  <c r="BK10" i="15"/>
  <c r="BQ15" i="3"/>
  <c r="BJ4" i="15"/>
  <c r="BP7" i="3"/>
  <c r="BQ9" i="7"/>
  <c r="BJ1" i="15" l="1"/>
  <c r="BQ11" i="3"/>
  <c r="BQ13" i="3"/>
  <c r="BQ7" i="7" s="1"/>
  <c r="BK19" i="15"/>
  <c r="BQ7" i="6"/>
  <c r="BK7" i="15"/>
  <c r="BQ11" i="8" l="1"/>
  <c r="BQ9" i="6" s="1"/>
  <c r="BK16" i="15"/>
  <c r="BK37" i="15"/>
  <c r="BQ13" i="4"/>
  <c r="BK28" i="15"/>
  <c r="BQ9" i="5"/>
  <c r="BK13" i="15" l="1"/>
  <c r="BR13" i="6"/>
  <c r="BK34" i="15"/>
  <c r="BQ11" i="4"/>
  <c r="BK25" i="15"/>
  <c r="BR7" i="5"/>
  <c r="BR7" i="4" l="1"/>
  <c r="BR9" i="7" s="1"/>
  <c r="BQ11" i="6"/>
  <c r="BL10" i="15"/>
  <c r="BR15" i="3"/>
  <c r="BL22" i="15"/>
  <c r="BK4" i="15" l="1"/>
  <c r="BQ7" i="3"/>
  <c r="BL19" i="15"/>
  <c r="BL7" i="15"/>
  <c r="BR7" i="6"/>
  <c r="BS9" i="4"/>
  <c r="BL31" i="15"/>
  <c r="BK1" i="15" l="1"/>
  <c r="BR11" i="3"/>
  <c r="BR13" i="3"/>
  <c r="BR13" i="4" l="1"/>
  <c r="BL37" i="15"/>
  <c r="BR9" i="5"/>
  <c r="BL28" i="15"/>
  <c r="BR7" i="7"/>
  <c r="BL25" i="15" l="1"/>
  <c r="BS7" i="5"/>
  <c r="BR11" i="8"/>
  <c r="BR9" i="6" s="1"/>
  <c r="BL16" i="15"/>
  <c r="BL34" i="15"/>
  <c r="BR11" i="4"/>
  <c r="BL13" i="15" l="1"/>
  <c r="BS13" i="6"/>
  <c r="BR11" i="6"/>
  <c r="BS7" i="4"/>
  <c r="BS9" i="7" s="1"/>
  <c r="BM22" i="15"/>
  <c r="BM19" i="15" l="1"/>
  <c r="BL4" i="15"/>
  <c r="BR7" i="3"/>
  <c r="BM10" i="15"/>
  <c r="BS15" i="3"/>
  <c r="BT9" i="4"/>
  <c r="BM31" i="15"/>
  <c r="BL1" i="15" l="1"/>
  <c r="BS11" i="3"/>
  <c r="BS13" i="3"/>
  <c r="BM7" i="15"/>
  <c r="BS7" i="6"/>
  <c r="BS9" i="5" l="1"/>
  <c r="BM28" i="15"/>
  <c r="BS7" i="7"/>
  <c r="BM37" i="15"/>
  <c r="BS13" i="4"/>
  <c r="BM16" i="15" l="1"/>
  <c r="BS11" i="8"/>
  <c r="BS9" i="6" s="1"/>
  <c r="BM25" i="15"/>
  <c r="BT7" i="5"/>
  <c r="BM34" i="15"/>
  <c r="BS11" i="4"/>
  <c r="BM13" i="15" l="1"/>
  <c r="BT13" i="6"/>
  <c r="BT7" i="4"/>
  <c r="BS11" i="6"/>
  <c r="BN22" i="15"/>
  <c r="BU9" i="4" l="1"/>
  <c r="BN31" i="15"/>
  <c r="BN10" i="15"/>
  <c r="BT15" i="3"/>
  <c r="BT9" i="7"/>
  <c r="BS7" i="3"/>
  <c r="BM4" i="15"/>
  <c r="BN7" i="15" l="1"/>
  <c r="BT7" i="6"/>
  <c r="BN19" i="15"/>
  <c r="BM1" i="15"/>
  <c r="BT11" i="3"/>
  <c r="BT13" i="3"/>
  <c r="BT13" i="4" l="1"/>
  <c r="BN37" i="15"/>
  <c r="BN28" i="15"/>
  <c r="BT9" i="5"/>
  <c r="BT7" i="7"/>
  <c r="BN25" i="15" l="1"/>
  <c r="BU7" i="5"/>
  <c r="BN16" i="15"/>
  <c r="BT11" i="8"/>
  <c r="BT9" i="6" s="1"/>
  <c r="BN34" i="15"/>
  <c r="BT11" i="4"/>
  <c r="BN13" i="15" l="1"/>
  <c r="BU13" i="6"/>
  <c r="BU7" i="4"/>
  <c r="BU9" i="7" s="1"/>
  <c r="BT11" i="6"/>
  <c r="BO22" i="15"/>
  <c r="BO10" i="15" l="1"/>
  <c r="BU15" i="3"/>
  <c r="BO19" i="15"/>
  <c r="BO31" i="15"/>
  <c r="BV9" i="4"/>
  <c r="BN4" i="15"/>
  <c r="BT7" i="3"/>
  <c r="BN1" i="15" l="1"/>
  <c r="BU11" i="3"/>
  <c r="BU13" i="3"/>
  <c r="BU7" i="6"/>
  <c r="BO7" i="15"/>
  <c r="BU9" i="5" l="1"/>
  <c r="BO28" i="15"/>
  <c r="BU7" i="7"/>
  <c r="BO37" i="15"/>
  <c r="BU13" i="4"/>
  <c r="BO34" i="15" l="1"/>
  <c r="BU11" i="4"/>
  <c r="BO25" i="15"/>
  <c r="BV7" i="5"/>
  <c r="BO16" i="15"/>
  <c r="BU11" i="8"/>
  <c r="BU9" i="6" s="1"/>
  <c r="BO13" i="15" l="1"/>
  <c r="BV13" i="6"/>
  <c r="BV7" i="4"/>
  <c r="BV9" i="7" s="1"/>
  <c r="BU11" i="6"/>
  <c r="BP22" i="15"/>
  <c r="BP10" i="15" l="1"/>
  <c r="BV15" i="3"/>
  <c r="BP19" i="15"/>
  <c r="BW9" i="4"/>
  <c r="BP31" i="15"/>
  <c r="BO4" i="15"/>
  <c r="BU7" i="3"/>
  <c r="BO1" i="15" l="1"/>
  <c r="BV11" i="3"/>
  <c r="BV13" i="3"/>
  <c r="BP7" i="15"/>
  <c r="BV7" i="6"/>
  <c r="BV9" i="5" l="1"/>
  <c r="BP28" i="15"/>
  <c r="BV7" i="7"/>
  <c r="BV13" i="4"/>
  <c r="BP37" i="15"/>
  <c r="BP34" i="15" l="1"/>
  <c r="BV11" i="4"/>
  <c r="BP25" i="15"/>
  <c r="BW7" i="5"/>
  <c r="BP16" i="15"/>
  <c r="BV11" i="8"/>
  <c r="BV9" i="6" s="1"/>
  <c r="BW7" i="4" l="1"/>
  <c r="BV11" i="6"/>
  <c r="BP13" i="15"/>
  <c r="BW13" i="6"/>
  <c r="BW9" i="7"/>
  <c r="BQ22" i="15"/>
  <c r="BQ31" i="15" l="1"/>
  <c r="BX9" i="4"/>
  <c r="BP4" i="15"/>
  <c r="BV7" i="3"/>
  <c r="BQ19" i="15"/>
  <c r="BW15" i="3"/>
  <c r="BQ10" i="15"/>
  <c r="BP1" i="15" l="1"/>
  <c r="BW13" i="3"/>
  <c r="BW11" i="3"/>
  <c r="BQ7" i="15"/>
  <c r="BW7" i="6"/>
  <c r="BQ37" i="15" l="1"/>
  <c r="BW13" i="4"/>
  <c r="BQ28" i="15"/>
  <c r="BW9" i="5"/>
  <c r="BW7" i="7"/>
  <c r="BQ25" i="15" l="1"/>
  <c r="BX7" i="5"/>
  <c r="BW11" i="8"/>
  <c r="BW9" i="6" s="1"/>
  <c r="BQ16" i="15"/>
  <c r="BQ34" i="15"/>
  <c r="BW11" i="4"/>
  <c r="BQ13" i="15" l="1"/>
  <c r="BX13" i="6"/>
  <c r="BR22" i="15"/>
  <c r="BX7" i="4"/>
  <c r="BX9" i="7" s="1"/>
  <c r="BW11" i="6"/>
  <c r="BR19" i="15" l="1"/>
  <c r="BX15" i="3"/>
  <c r="BR10" i="15"/>
  <c r="BY9" i="4"/>
  <c r="BR31" i="15"/>
  <c r="BW7" i="3"/>
  <c r="BQ4" i="15"/>
  <c r="BQ1" i="15" l="1"/>
  <c r="BX13" i="3"/>
  <c r="BX11" i="3"/>
  <c r="BR7" i="15"/>
  <c r="BX7" i="6"/>
  <c r="BX13" i="4" l="1"/>
  <c r="BR37" i="15"/>
  <c r="BR28" i="15"/>
  <c r="BX9" i="5"/>
  <c r="BX7" i="7"/>
  <c r="BR34" i="15" l="1"/>
  <c r="BX11" i="4"/>
  <c r="BR25" i="15"/>
  <c r="BY7" i="5"/>
  <c r="BX11" i="8"/>
  <c r="BX9" i="6" s="1"/>
  <c r="BR16" i="15"/>
  <c r="BR13" i="15" l="1"/>
  <c r="BY13" i="6"/>
  <c r="BY7" i="4"/>
  <c r="BY9" i="7" s="1"/>
  <c r="BX11" i="6"/>
  <c r="BS22" i="15"/>
  <c r="BY15" i="3" l="1"/>
  <c r="BS10" i="15"/>
  <c r="BS19" i="15"/>
  <c r="BS31" i="15"/>
  <c r="BZ9" i="4"/>
  <c r="BX7" i="3"/>
  <c r="BR4" i="15"/>
  <c r="BY7" i="6" l="1"/>
  <c r="BS7" i="15"/>
  <c r="BR1" i="15"/>
  <c r="BY13" i="3"/>
  <c r="BY11" i="3"/>
  <c r="CA9" i="4"/>
  <c r="BS28" i="15" l="1"/>
  <c r="BY9" i="5"/>
  <c r="BY7" i="7"/>
  <c r="BY13" i="4"/>
  <c r="BS37" i="15"/>
  <c r="BS34" i="15" l="1"/>
  <c r="BY11" i="4"/>
  <c r="BS25" i="15"/>
  <c r="BZ7" i="5"/>
  <c r="BY11" i="8"/>
  <c r="BY9" i="6" s="1"/>
  <c r="BS16" i="15"/>
  <c r="BS13" i="15" l="1"/>
  <c r="BZ13" i="6"/>
  <c r="BZ7" i="4"/>
  <c r="BZ9" i="7" s="1"/>
  <c r="BY11" i="6"/>
  <c r="CA7" i="5"/>
  <c r="BT22" i="15"/>
  <c r="BT10" i="15" l="1"/>
  <c r="BZ15" i="3"/>
  <c r="CA13" i="6"/>
  <c r="CA7" i="4"/>
  <c r="BT31" i="15"/>
  <c r="CB9" i="4"/>
  <c r="BT19" i="15"/>
  <c r="CA9" i="7"/>
  <c r="BS4" i="15"/>
  <c r="BY7" i="3"/>
  <c r="BT7" i="15" l="1"/>
  <c r="BZ7" i="6"/>
  <c r="CA15" i="3"/>
  <c r="CA7" i="6"/>
  <c r="BS1" i="15"/>
  <c r="BZ11" i="3"/>
  <c r="BZ13" i="3"/>
  <c r="BT37" i="15" l="1"/>
  <c r="BZ13" i="4"/>
  <c r="CA11" i="3"/>
  <c r="BZ9" i="5"/>
  <c r="BT28" i="15"/>
  <c r="CA13" i="3"/>
  <c r="BZ7" i="7"/>
  <c r="BZ11" i="8" l="1"/>
  <c r="CA11" i="8" s="1"/>
  <c r="BT16" i="15"/>
  <c r="CA7" i="7"/>
  <c r="BT34" i="15"/>
  <c r="CA13" i="4"/>
  <c r="BZ11" i="4"/>
  <c r="BT25" i="15"/>
  <c r="CA9" i="5"/>
  <c r="CB7" i="5"/>
  <c r="BU22" i="15" l="1"/>
  <c r="CA11" i="4"/>
  <c r="CB7" i="4"/>
  <c r="CB9" i="7" s="1"/>
  <c r="BZ11" i="6"/>
  <c r="BZ9" i="6"/>
  <c r="BU19" i="15" l="1"/>
  <c r="BU31" i="15"/>
  <c r="CC9" i="4"/>
  <c r="BT4" i="15"/>
  <c r="BZ7" i="3"/>
  <c r="CA11" i="6"/>
  <c r="BT13" i="15"/>
  <c r="CA9" i="6"/>
  <c r="CB13" i="6"/>
  <c r="BU10" i="15" l="1"/>
  <c r="CB15" i="3"/>
  <c r="BT1" i="15"/>
  <c r="CA7" i="3"/>
  <c r="CB11" i="3"/>
  <c r="CB13" i="3"/>
  <c r="CB13" i="4" l="1"/>
  <c r="BU37" i="15"/>
  <c r="BU28" i="15"/>
  <c r="CB9" i="5"/>
  <c r="CB7" i="7"/>
  <c r="BU7" i="15"/>
  <c r="CB7" i="6"/>
  <c r="BU16" i="15" l="1"/>
  <c r="CB11" i="8"/>
  <c r="CB9" i="6" s="1"/>
  <c r="BU34" i="15"/>
  <c r="CB11" i="4"/>
  <c r="BU25" i="15"/>
  <c r="CC7" i="5"/>
  <c r="CC7" i="4" l="1"/>
  <c r="CB11" i="6"/>
  <c r="BU13" i="15"/>
  <c r="CC13" i="6"/>
  <c r="CC9" i="7"/>
  <c r="BV22" i="15"/>
  <c r="BV19" i="15" l="1"/>
  <c r="BU4" i="15"/>
  <c r="CB7" i="3"/>
  <c r="CC15" i="3"/>
  <c r="BV10" i="15"/>
  <c r="BV31" i="15"/>
  <c r="CD9" i="4"/>
  <c r="BU1" i="15" l="1"/>
  <c r="CC11" i="3"/>
  <c r="CC13" i="3"/>
  <c r="BV7" i="15"/>
  <c r="CC7" i="6"/>
  <c r="BV37" i="15" l="1"/>
  <c r="CC13" i="4"/>
  <c r="CC9" i="5"/>
  <c r="BV28" i="15"/>
  <c r="CC7" i="7"/>
  <c r="BV16" i="15" l="1"/>
  <c r="CC11" i="8"/>
  <c r="CC9" i="6" s="1"/>
  <c r="BV34" i="15"/>
  <c r="CC11" i="4"/>
  <c r="BV25" i="15"/>
  <c r="CD7" i="5"/>
  <c r="BW22" i="15" l="1"/>
  <c r="CD7" i="4"/>
  <c r="CC11" i="6"/>
  <c r="BV13" i="15"/>
  <c r="CD13" i="6"/>
  <c r="BW31" i="15" l="1"/>
  <c r="CE9" i="4"/>
  <c r="CD9" i="7"/>
  <c r="BV4" i="15"/>
  <c r="CC7" i="3"/>
  <c r="CD15" i="3"/>
  <c r="BW10" i="15"/>
  <c r="BV1" i="15" l="1"/>
  <c r="CD13" i="3"/>
  <c r="CD7" i="7" s="1"/>
  <c r="CD11" i="3"/>
  <c r="CD7" i="6"/>
  <c r="BW7" i="15"/>
  <c r="BW19" i="15"/>
  <c r="CD11" i="8" l="1"/>
  <c r="BW16" i="15"/>
  <c r="CD9" i="5"/>
  <c r="BW28" i="15"/>
  <c r="BW37" i="15"/>
  <c r="CD13" i="4"/>
  <c r="BW25" i="15" l="1"/>
  <c r="CE7" i="5"/>
  <c r="BW34" i="15"/>
  <c r="CD11" i="4"/>
  <c r="CD9" i="6"/>
  <c r="CE7" i="4" l="1"/>
  <c r="CE9" i="7" s="1"/>
  <c r="CD11" i="6"/>
  <c r="BW13" i="15"/>
  <c r="CE13" i="6"/>
  <c r="BX22" i="15"/>
  <c r="BX10" i="15" l="1"/>
  <c r="CE15" i="3"/>
  <c r="CF9" i="4"/>
  <c r="BX31" i="15"/>
  <c r="BX19" i="15"/>
  <c r="CD7" i="3"/>
  <c r="BW4" i="15"/>
  <c r="BX7" i="15" l="1"/>
  <c r="CE7" i="6"/>
  <c r="BW1" i="15"/>
  <c r="CE13" i="3"/>
  <c r="CE11" i="3"/>
  <c r="BX28" i="15" l="1"/>
  <c r="CE9" i="5"/>
  <c r="CE7" i="7"/>
  <c r="BX37" i="15"/>
  <c r="CE13" i="4"/>
  <c r="CE11" i="8" l="1"/>
  <c r="CE9" i="6" s="1"/>
  <c r="BX16" i="15"/>
  <c r="BX34" i="15"/>
  <c r="CE11" i="4"/>
  <c r="BX25" i="15"/>
  <c r="CF7" i="5"/>
  <c r="BX13" i="15" l="1"/>
  <c r="CF13" i="6"/>
  <c r="BY22" i="15"/>
  <c r="CF7" i="4"/>
  <c r="CF9" i="7" s="1"/>
  <c r="CE11" i="6"/>
  <c r="BY19" i="15" l="1"/>
  <c r="CF15" i="3"/>
  <c r="BY10" i="15"/>
  <c r="CE7" i="3"/>
  <c r="BX4" i="15"/>
  <c r="CG9" i="4"/>
  <c r="BY31" i="15"/>
  <c r="BY7" i="15" l="1"/>
  <c r="CF7" i="6"/>
  <c r="BX1" i="15"/>
  <c r="CF11" i="3"/>
  <c r="CF13" i="3"/>
  <c r="BY28" i="15" l="1"/>
  <c r="CF9" i="5"/>
  <c r="CF7" i="7"/>
  <c r="BY37" i="15"/>
  <c r="CF13" i="4"/>
  <c r="BY16" i="15" l="1"/>
  <c r="CF11" i="8"/>
  <c r="CF9" i="6" s="1"/>
  <c r="BY25" i="15"/>
  <c r="CG7" i="5"/>
  <c r="BY34" i="15"/>
  <c r="CF11" i="4"/>
  <c r="BY13" i="15" l="1"/>
  <c r="CG13" i="6"/>
  <c r="CG7" i="4"/>
  <c r="CF11" i="6"/>
  <c r="BZ22" i="15"/>
  <c r="CF7" i="3" l="1"/>
  <c r="BY4" i="15"/>
  <c r="CG15" i="3"/>
  <c r="BZ10" i="15"/>
  <c r="CH9" i="4"/>
  <c r="BZ31" i="15"/>
  <c r="CG9" i="7"/>
  <c r="BY1" i="15" l="1"/>
  <c r="CG11" i="3"/>
  <c r="CG13" i="3"/>
  <c r="CG7" i="7" s="1"/>
  <c r="BZ19" i="15"/>
  <c r="BZ7" i="15"/>
  <c r="CG7" i="6"/>
  <c r="CG11" i="8" l="1"/>
  <c r="CG9" i="6" s="1"/>
  <c r="BZ16" i="15"/>
  <c r="CG13" i="4"/>
  <c r="BZ37" i="15"/>
  <c r="BZ28" i="15"/>
  <c r="CG9" i="5"/>
  <c r="BZ13" i="15" l="1"/>
  <c r="CH13" i="6"/>
  <c r="BZ25" i="15"/>
  <c r="CH7" i="5"/>
  <c r="BZ34" i="15"/>
  <c r="CG11" i="4"/>
  <c r="CH7" i="4" l="1"/>
  <c r="CH9" i="7" s="1"/>
  <c r="CG11" i="6"/>
  <c r="CH15" i="3"/>
  <c r="CA10" i="15"/>
  <c r="CA22" i="15"/>
  <c r="CA19" i="15" l="1"/>
  <c r="BZ4" i="15"/>
  <c r="CG7" i="3"/>
  <c r="CI9" i="4"/>
  <c r="CA31" i="15"/>
  <c r="CA7" i="15"/>
  <c r="CH7" i="6"/>
  <c r="BZ1" i="15" l="1"/>
  <c r="CH13" i="3"/>
  <c r="CH11" i="3"/>
  <c r="CA28" i="15" l="1"/>
  <c r="CH9" i="5"/>
  <c r="CH7" i="7"/>
  <c r="CA37" i="15"/>
  <c r="CH13" i="4"/>
  <c r="CA34" i="15" l="1"/>
  <c r="CH11" i="4"/>
  <c r="CA25" i="15"/>
  <c r="CI7" i="5"/>
  <c r="CA16" i="15"/>
  <c r="CH11" i="8"/>
  <c r="CH9" i="6" s="1"/>
  <c r="CA13" i="15" l="1"/>
  <c r="CI13" i="6"/>
  <c r="CI7" i="4"/>
  <c r="CI9" i="7" s="1"/>
  <c r="CH11" i="6"/>
  <c r="CB22" i="15"/>
  <c r="CI15" i="3" l="1"/>
  <c r="CB10" i="15"/>
  <c r="CB19" i="15"/>
  <c r="CJ9" i="4"/>
  <c r="CB31" i="15"/>
  <c r="CH7" i="3"/>
  <c r="CA4" i="15"/>
  <c r="CA1" i="15" l="1"/>
  <c r="CI11" i="3"/>
  <c r="CI13" i="3"/>
  <c r="CI7" i="6"/>
  <c r="CB7" i="15"/>
  <c r="CI13" i="4" l="1"/>
  <c r="CB37" i="15"/>
  <c r="CI9" i="5"/>
  <c r="CB28" i="15"/>
  <c r="CI7" i="7"/>
  <c r="CB34" i="15" l="1"/>
  <c r="CI11" i="4"/>
  <c r="CB16" i="15"/>
  <c r="CI11" i="8"/>
  <c r="CI9" i="6" s="1"/>
  <c r="CB25" i="15"/>
  <c r="CJ7" i="5"/>
  <c r="CC22" i="15" l="1"/>
  <c r="CJ7" i="4"/>
  <c r="CJ9" i="7" s="1"/>
  <c r="CI11" i="6"/>
  <c r="CB13" i="15"/>
  <c r="CJ13" i="6"/>
  <c r="CI7" i="3" l="1"/>
  <c r="CB4" i="15"/>
  <c r="CC19" i="15"/>
  <c r="CC10" i="15"/>
  <c r="CJ15" i="3"/>
  <c r="CK9" i="4"/>
  <c r="CC31" i="15"/>
  <c r="CB1" i="15" l="1"/>
  <c r="CJ13" i="3"/>
  <c r="CJ11" i="3"/>
  <c r="CJ7" i="6"/>
  <c r="CC7" i="15"/>
  <c r="CC28" i="15" l="1"/>
  <c r="CJ9" i="5"/>
  <c r="CJ7" i="7"/>
  <c r="CJ13" i="4"/>
  <c r="CC37" i="15"/>
  <c r="CC34" i="15" l="1"/>
  <c r="CJ11" i="4"/>
  <c r="CC25" i="15"/>
  <c r="CK7" i="5"/>
  <c r="CC16" i="15"/>
  <c r="CJ11" i="8"/>
  <c r="CJ9" i="6" s="1"/>
  <c r="CC13" i="15" l="1"/>
  <c r="CK13" i="6"/>
  <c r="CK7" i="4"/>
  <c r="CK9" i="7" s="1"/>
  <c r="CJ11" i="6"/>
  <c r="CD22" i="15"/>
  <c r="CL9" i="4" l="1"/>
  <c r="CD31" i="15"/>
  <c r="CD19" i="15"/>
  <c r="CD10" i="15"/>
  <c r="CK15" i="3"/>
  <c r="CJ7" i="3"/>
  <c r="CC4" i="15"/>
  <c r="CC1" i="15" l="1"/>
  <c r="CK13" i="3"/>
  <c r="CK11" i="3"/>
  <c r="CK7" i="6"/>
  <c r="CD7" i="15"/>
  <c r="CD28" i="15" l="1"/>
  <c r="CK9" i="5"/>
  <c r="CK7" i="7"/>
  <c r="CD37" i="15"/>
  <c r="CK13" i="4"/>
  <c r="CD25" i="15" l="1"/>
  <c r="CL7" i="5"/>
  <c r="CD34" i="15"/>
  <c r="CK11" i="4"/>
  <c r="CD16" i="15"/>
  <c r="CK11" i="8"/>
  <c r="CK9" i="6" s="1"/>
  <c r="CD13" i="15" l="1"/>
  <c r="CL13" i="6"/>
  <c r="CE22" i="15"/>
  <c r="CL7" i="4"/>
  <c r="CK11" i="6"/>
  <c r="CM9" i="4" l="1"/>
  <c r="CE31" i="15"/>
  <c r="CE10" i="15"/>
  <c r="CL15" i="3"/>
  <c r="CD4" i="15"/>
  <c r="CK7" i="3"/>
  <c r="CL9" i="7"/>
  <c r="CE7" i="15" l="1"/>
  <c r="CL7" i="6"/>
  <c r="CN9" i="4"/>
  <c r="CE19" i="15"/>
  <c r="CD1" i="15"/>
  <c r="CL11" i="3"/>
  <c r="CL13" i="3"/>
  <c r="CE28" i="15" l="1"/>
  <c r="CL9" i="5"/>
  <c r="CL13" i="4"/>
  <c r="CE37" i="15"/>
  <c r="CL7" i="7"/>
  <c r="CE34" i="15" l="1"/>
  <c r="CL11" i="4"/>
  <c r="CE25" i="15"/>
  <c r="CM7" i="5"/>
  <c r="CL11" i="8"/>
  <c r="CL9" i="6" s="1"/>
  <c r="CE16" i="15"/>
  <c r="CE13" i="15" l="1"/>
  <c r="CM13" i="6"/>
  <c r="CM7" i="4"/>
  <c r="CL11" i="6"/>
  <c r="CN7" i="5"/>
  <c r="CF22" i="15"/>
  <c r="CM9" i="7"/>
  <c r="CF19" i="15" l="1"/>
  <c r="CN9" i="7"/>
  <c r="CO9" i="4"/>
  <c r="CN7" i="4"/>
  <c r="CF31" i="15"/>
  <c r="CF10" i="15"/>
  <c r="CM15" i="3"/>
  <c r="CN13" i="6"/>
  <c r="CE4" i="15"/>
  <c r="CL7" i="3"/>
  <c r="CE1" i="15" l="1"/>
  <c r="CM11" i="3"/>
  <c r="CM13" i="3"/>
  <c r="CF7" i="15"/>
  <c r="CM7" i="6"/>
  <c r="CN7" i="6"/>
  <c r="CN15" i="3"/>
  <c r="CM13" i="4" l="1"/>
  <c r="CF37" i="15"/>
  <c r="CN11" i="3"/>
  <c r="CM9" i="5"/>
  <c r="CF28" i="15"/>
  <c r="CN13" i="3"/>
  <c r="CM7" i="7"/>
  <c r="CF25" i="15" l="1"/>
  <c r="CN9" i="5"/>
  <c r="CO7" i="5"/>
  <c r="CM11" i="8"/>
  <c r="CN11" i="8" s="1"/>
  <c r="CF16" i="15"/>
  <c r="CN7" i="7"/>
  <c r="CN13" i="4"/>
  <c r="CF34" i="15"/>
  <c r="CM11" i="4"/>
  <c r="CM9" i="6" l="1"/>
  <c r="CF13" i="15" s="1"/>
  <c r="CG22" i="15"/>
  <c r="CN11" i="4"/>
  <c r="CO7" i="4"/>
  <c r="CO9" i="7" s="1"/>
  <c r="CM11" i="6"/>
  <c r="CO13" i="6" l="1"/>
  <c r="CG10" i="15" s="1"/>
  <c r="CN9" i="6"/>
  <c r="CF4" i="15"/>
  <c r="CM7" i="3"/>
  <c r="CN11" i="6"/>
  <c r="CG19" i="15"/>
  <c r="CG31" i="15"/>
  <c r="CP9" i="4"/>
  <c r="CO15" i="3" l="1"/>
  <c r="CO7" i="6" s="1"/>
  <c r="CF1" i="15"/>
  <c r="CN7" i="3"/>
  <c r="CO11" i="3"/>
  <c r="CO13" i="3"/>
  <c r="CG7" i="15" l="1"/>
  <c r="CO9" i="5"/>
  <c r="CG28" i="15"/>
  <c r="CO7" i="7"/>
  <c r="CO13" i="4"/>
  <c r="CG37" i="15"/>
  <c r="CG16" i="15" l="1"/>
  <c r="CO11" i="8"/>
  <c r="CO9" i="6" s="1"/>
  <c r="CG25" i="15"/>
  <c r="CP7" i="5"/>
  <c r="CG34" i="15"/>
  <c r="CO11" i="4"/>
  <c r="CH22" i="15" l="1"/>
  <c r="CP7" i="4"/>
  <c r="CP9" i="7" s="1"/>
  <c r="CO11" i="6"/>
  <c r="CG13" i="15"/>
  <c r="CP13" i="6"/>
  <c r="CH10" i="15" l="1"/>
  <c r="CP15" i="3"/>
  <c r="CQ9" i="4"/>
  <c r="CH31" i="15"/>
  <c r="CH19" i="15"/>
  <c r="CO7" i="3"/>
  <c r="CG4" i="15"/>
  <c r="CG1" i="15" l="1"/>
  <c r="CP13" i="3"/>
  <c r="CP11" i="3"/>
  <c r="CH7" i="15"/>
  <c r="CP7" i="6"/>
  <c r="CH37" i="15" l="1"/>
  <c r="CP13" i="4"/>
  <c r="CH28" i="15"/>
  <c r="CP9" i="5"/>
  <c r="CP7" i="7"/>
  <c r="CP11" i="8" l="1"/>
  <c r="CH16" i="15"/>
  <c r="CH34" i="15"/>
  <c r="CP11" i="4"/>
  <c r="CH25" i="15"/>
  <c r="CQ7" i="5"/>
  <c r="CI22" i="15" l="1"/>
  <c r="CP9" i="6"/>
  <c r="CQ7" i="4"/>
  <c r="CQ9" i="7" s="1"/>
  <c r="CP11" i="6"/>
  <c r="CH13" i="15" l="1"/>
  <c r="CQ13" i="6"/>
  <c r="CI19" i="15"/>
  <c r="CI31" i="15"/>
  <c r="CR9" i="4"/>
  <c r="CH4" i="15"/>
  <c r="CP7" i="3"/>
  <c r="CH1" i="15" l="1"/>
  <c r="CQ13" i="3"/>
  <c r="CQ11" i="3"/>
  <c r="CI10" i="15"/>
  <c r="CQ15" i="3"/>
  <c r="CQ7" i="6" l="1"/>
  <c r="CI7" i="15"/>
  <c r="CI28" i="15"/>
  <c r="CQ9" i="5"/>
  <c r="CQ7" i="7"/>
  <c r="CI37" i="15"/>
  <c r="CQ13" i="4"/>
  <c r="CQ11" i="8" l="1"/>
  <c r="CI16" i="15"/>
  <c r="CI34" i="15"/>
  <c r="CQ11" i="4"/>
  <c r="CI25" i="15"/>
  <c r="CR7" i="5"/>
  <c r="CJ22" i="15" l="1"/>
  <c r="CQ9" i="6"/>
  <c r="CR7" i="4"/>
  <c r="CR9" i="7" s="1"/>
  <c r="CQ11" i="6"/>
  <c r="CJ19" i="15" l="1"/>
  <c r="CI13" i="15"/>
  <c r="CR13" i="6"/>
  <c r="CJ31" i="15"/>
  <c r="CS9" i="4"/>
  <c r="CQ7" i="3"/>
  <c r="CI4" i="15"/>
  <c r="CJ10" i="15" l="1"/>
  <c r="CR15" i="3"/>
  <c r="CI1" i="15"/>
  <c r="CR11" i="3"/>
  <c r="CR13" i="3"/>
  <c r="CJ37" i="15" l="1"/>
  <c r="CR13" i="4"/>
  <c r="CR7" i="6"/>
  <c r="CJ7" i="15"/>
  <c r="CR9" i="5"/>
  <c r="CJ28" i="15"/>
  <c r="CR7" i="7"/>
  <c r="CJ34" i="15" l="1"/>
  <c r="CR11" i="4"/>
  <c r="CJ16" i="15"/>
  <c r="CR11" i="8"/>
  <c r="CR9" i="6" s="1"/>
  <c r="CJ25" i="15"/>
  <c r="CS7" i="5"/>
  <c r="CJ13" i="15" l="1"/>
  <c r="CS13" i="6"/>
  <c r="CS7" i="4"/>
  <c r="CR11" i="6"/>
  <c r="CK22" i="15"/>
  <c r="CT9" i="4" l="1"/>
  <c r="CK31" i="15"/>
  <c r="CK10" i="15"/>
  <c r="CS15" i="3"/>
  <c r="CJ4" i="15"/>
  <c r="CR7" i="3"/>
  <c r="CS9" i="7"/>
  <c r="CJ1" i="15" l="1"/>
  <c r="CS11" i="3"/>
  <c r="CS13" i="3"/>
  <c r="CS7" i="7" s="1"/>
  <c r="CS7" i="6"/>
  <c r="CK7" i="15"/>
  <c r="CK19" i="15"/>
  <c r="CS11" i="8" l="1"/>
  <c r="CS9" i="6" s="1"/>
  <c r="CK16" i="15"/>
  <c r="CS13" i="4"/>
  <c r="CK37" i="15"/>
  <c r="CS9" i="5"/>
  <c r="CK28" i="15"/>
  <c r="CK25" i="15" l="1"/>
  <c r="CT7" i="5"/>
  <c r="CK34" i="15"/>
  <c r="CS11" i="4"/>
  <c r="CK13" i="15"/>
  <c r="CT13" i="6"/>
  <c r="CT7" i="4" l="1"/>
  <c r="CT9" i="7" s="1"/>
  <c r="CS11" i="6"/>
  <c r="CL22" i="15"/>
  <c r="CL10" i="15"/>
  <c r="CT15" i="3"/>
  <c r="CK4" i="15" l="1"/>
  <c r="CS7" i="3"/>
  <c r="CL19" i="15"/>
  <c r="CL31" i="15"/>
  <c r="CU9" i="4"/>
  <c r="CT7" i="6"/>
  <c r="CL7" i="15"/>
  <c r="CK1" i="15" l="1"/>
  <c r="CT13" i="3"/>
  <c r="CT11" i="3"/>
  <c r="CT9" i="5" l="1"/>
  <c r="CL28" i="15"/>
  <c r="CT7" i="7"/>
  <c r="CT13" i="4"/>
  <c r="CL37" i="15"/>
  <c r="CL34" i="15" l="1"/>
  <c r="CT11" i="4"/>
  <c r="CL25" i="15"/>
  <c r="CU7" i="5"/>
  <c r="CL16" i="15"/>
  <c r="CT11" i="8"/>
  <c r="CT9" i="6" s="1"/>
  <c r="CL13" i="15" l="1"/>
  <c r="CU13" i="6"/>
  <c r="CU7" i="4"/>
  <c r="CU9" i="7" s="1"/>
  <c r="CT11" i="6"/>
  <c r="CM22" i="15"/>
  <c r="CU15" i="3" l="1"/>
  <c r="CM10" i="15"/>
  <c r="CM19" i="15"/>
  <c r="CM31" i="15"/>
  <c r="CV9" i="4"/>
  <c r="CL4" i="15"/>
  <c r="CT7" i="3"/>
  <c r="CM7" i="15" l="1"/>
  <c r="CU7" i="6"/>
  <c r="CL1" i="15"/>
  <c r="CU13" i="3"/>
  <c r="CU11" i="3"/>
  <c r="CU9" i="5" l="1"/>
  <c r="CM28" i="15"/>
  <c r="CU7" i="7"/>
  <c r="CU13" i="4"/>
  <c r="CM37" i="15"/>
  <c r="CM34" i="15" l="1"/>
  <c r="CU11" i="4"/>
  <c r="CM25" i="15"/>
  <c r="CV7" i="5"/>
  <c r="CM16" i="15"/>
  <c r="CU11" i="8"/>
  <c r="CU9" i="6" s="1"/>
  <c r="CM13" i="15" l="1"/>
  <c r="CV13" i="6"/>
  <c r="CV7" i="4"/>
  <c r="CV9" i="7" s="1"/>
  <c r="CU11" i="6"/>
  <c r="CN22" i="15"/>
  <c r="CV15" i="3" l="1"/>
  <c r="CN10" i="15"/>
  <c r="CW9" i="4"/>
  <c r="CN31" i="15"/>
  <c r="CN19" i="15"/>
  <c r="CU7" i="3"/>
  <c r="CM4" i="15"/>
  <c r="CN7" i="15" l="1"/>
  <c r="CV7" i="6"/>
  <c r="CM1" i="15"/>
  <c r="CV13" i="3"/>
  <c r="CV11" i="3"/>
  <c r="CV9" i="5" l="1"/>
  <c r="CN28" i="15"/>
  <c r="CV7" i="7"/>
  <c r="CV13" i="4"/>
  <c r="CN37" i="15"/>
  <c r="CN34" i="15" l="1"/>
  <c r="CV11" i="4"/>
  <c r="CN25" i="15"/>
  <c r="CW7" i="5"/>
  <c r="CN16" i="15"/>
  <c r="CV11" i="8"/>
  <c r="CV9" i="6" s="1"/>
  <c r="CN13" i="15" l="1"/>
  <c r="CW13" i="6"/>
  <c r="CW7" i="4"/>
  <c r="CW9" i="7" s="1"/>
  <c r="CV11" i="6"/>
  <c r="CO22" i="15"/>
  <c r="CW15" i="3" l="1"/>
  <c r="CO10" i="15"/>
  <c r="CO19" i="15"/>
  <c r="CX9" i="4"/>
  <c r="CO31" i="15"/>
  <c r="CN4" i="15"/>
  <c r="CV7" i="3"/>
  <c r="CN1" i="15" l="1"/>
  <c r="CW13" i="3"/>
  <c r="CW11" i="3"/>
  <c r="CO7" i="15"/>
  <c r="CW7" i="6"/>
  <c r="CW9" i="5" l="1"/>
  <c r="CO28" i="15"/>
  <c r="CW7" i="7"/>
  <c r="CW13" i="4"/>
  <c r="CO37" i="15"/>
  <c r="CO34" i="15" l="1"/>
  <c r="CW11" i="4"/>
  <c r="CO25" i="15"/>
  <c r="CX7" i="5"/>
  <c r="CW11" i="8"/>
  <c r="CW9" i="6" s="1"/>
  <c r="CO16" i="15"/>
  <c r="CO13" i="15" l="1"/>
  <c r="CX13" i="6"/>
  <c r="CX7" i="4"/>
  <c r="CX9" i="7" s="1"/>
  <c r="CW11" i="6"/>
  <c r="CP22" i="15"/>
  <c r="CX15" i="3" l="1"/>
  <c r="CP10" i="15"/>
  <c r="CP31" i="15"/>
  <c r="CY9" i="4"/>
  <c r="CP19" i="15"/>
  <c r="CO4" i="15"/>
  <c r="CW7" i="3"/>
  <c r="CP7" i="15" l="1"/>
  <c r="CX7" i="6"/>
  <c r="CO1" i="15"/>
  <c r="CX11" i="3"/>
  <c r="CX13" i="3"/>
  <c r="CX13" i="4" l="1"/>
  <c r="CP37" i="15"/>
  <c r="CX9" i="5"/>
  <c r="CP28" i="15"/>
  <c r="CX7" i="7"/>
  <c r="CP34" i="15" l="1"/>
  <c r="CX11" i="4"/>
  <c r="CP16" i="15"/>
  <c r="CX11" i="8"/>
  <c r="CX9" i="6" s="1"/>
  <c r="CP25" i="15"/>
  <c r="CY7" i="5"/>
  <c r="CP13" i="15" l="1"/>
  <c r="CY13" i="6"/>
  <c r="CQ22" i="15"/>
  <c r="CY7" i="4"/>
  <c r="CY9" i="7" s="1"/>
  <c r="CX11" i="6"/>
  <c r="CY15" i="3" l="1"/>
  <c r="CQ10" i="15"/>
  <c r="CQ19" i="15"/>
  <c r="CQ31" i="15"/>
  <c r="CZ9" i="4"/>
  <c r="CX7" i="3"/>
  <c r="CP4" i="15"/>
  <c r="CY7" i="6" l="1"/>
  <c r="CQ7" i="15"/>
  <c r="DA9" i="4"/>
  <c r="CP1" i="15"/>
  <c r="CY13" i="3"/>
  <c r="CY11" i="3"/>
  <c r="CQ28" i="15" l="1"/>
  <c r="CY9" i="5"/>
  <c r="CY7" i="7"/>
  <c r="CY13" i="4"/>
  <c r="CQ37" i="15"/>
  <c r="CQ34" i="15" l="1"/>
  <c r="CY11" i="4"/>
  <c r="CQ25" i="15"/>
  <c r="CZ7" i="5"/>
  <c r="CQ16" i="15"/>
  <c r="CY11" i="8"/>
  <c r="CY9" i="6" s="1"/>
  <c r="CQ13" i="15" l="1"/>
  <c r="CZ13" i="6"/>
  <c r="CZ7" i="4"/>
  <c r="CZ9" i="7" s="1"/>
  <c r="CY11" i="6"/>
  <c r="DA7" i="5"/>
  <c r="CR22" i="15"/>
  <c r="CR10" i="15" l="1"/>
  <c r="CZ15" i="3"/>
  <c r="DA13" i="6"/>
  <c r="CR19" i="15"/>
  <c r="DA9" i="7"/>
  <c r="DA7" i="4"/>
  <c r="CR31" i="15"/>
  <c r="DB9" i="4"/>
  <c r="CQ4" i="15"/>
  <c r="CY7" i="3"/>
  <c r="CQ1" i="15" l="1"/>
  <c r="CZ13" i="3"/>
  <c r="CZ11" i="3"/>
  <c r="CZ7" i="6"/>
  <c r="CR7" i="15"/>
  <c r="DA15" i="3"/>
  <c r="DA7" i="6"/>
  <c r="CR28" i="15" l="1"/>
  <c r="CZ9" i="5"/>
  <c r="DA13" i="3"/>
  <c r="CZ7" i="7"/>
  <c r="CZ13" i="4"/>
  <c r="CR37" i="15"/>
  <c r="DA11" i="3"/>
  <c r="CR34" i="15" l="1"/>
  <c r="DA13" i="4"/>
  <c r="CZ11" i="4"/>
  <c r="CR16" i="15"/>
  <c r="CZ11" i="8"/>
  <c r="DA11" i="8" s="1"/>
  <c r="DA7" i="7"/>
  <c r="CR25" i="15"/>
  <c r="DA9" i="5"/>
  <c r="DB7" i="5"/>
  <c r="CS22" i="15" l="1"/>
  <c r="DA11" i="4"/>
  <c r="DB7" i="4"/>
  <c r="DB9" i="7" s="1"/>
  <c r="CZ11" i="6"/>
  <c r="CZ9" i="6"/>
  <c r="CS19" i="15" l="1"/>
  <c r="DC9" i="4"/>
  <c r="CS31" i="15"/>
  <c r="CR13" i="15"/>
  <c r="DA9" i="6"/>
  <c r="DB13" i="6"/>
  <c r="CZ7" i="3"/>
  <c r="CR4" i="15"/>
  <c r="DA11" i="6"/>
  <c r="CS10" i="15" l="1"/>
  <c r="DB15" i="3"/>
  <c r="CR1" i="15"/>
  <c r="DA7" i="3"/>
  <c r="DB11" i="3"/>
  <c r="DB13" i="3"/>
  <c r="CS37" i="15" l="1"/>
  <c r="DB13" i="4"/>
  <c r="CS7" i="15"/>
  <c r="DB7" i="6"/>
  <c r="CS28" i="15"/>
  <c r="DB9" i="5"/>
  <c r="DB7" i="7"/>
  <c r="CS25" i="15" l="1"/>
  <c r="DC7" i="5"/>
  <c r="CS34" i="15"/>
  <c r="DB11" i="4"/>
  <c r="DB11" i="8"/>
  <c r="DB9" i="6" s="1"/>
  <c r="CS16" i="15"/>
  <c r="CS13" i="15" l="1"/>
  <c r="DC13" i="6"/>
  <c r="DC7" i="4"/>
  <c r="DB11" i="6"/>
  <c r="CT22" i="15"/>
  <c r="DD9" i="4" l="1"/>
  <c r="CT31" i="15"/>
  <c r="CS4" i="15"/>
  <c r="DB7" i="3"/>
  <c r="CT10" i="15"/>
  <c r="DC15" i="3"/>
  <c r="DC9" i="7"/>
  <c r="DC7" i="6" l="1"/>
  <c r="CT7" i="15"/>
  <c r="CT19" i="15"/>
  <c r="CS1" i="15"/>
  <c r="DC11" i="3"/>
  <c r="DC13" i="3"/>
  <c r="DC13" i="4" l="1"/>
  <c r="CT37" i="15"/>
  <c r="CT28" i="15"/>
  <c r="DC9" i="5"/>
  <c r="DC7" i="7"/>
  <c r="CT34" i="15" l="1"/>
  <c r="DC11" i="4"/>
  <c r="CT16" i="15"/>
  <c r="DC11" i="8"/>
  <c r="DC9" i="6" s="1"/>
  <c r="CT25" i="15"/>
  <c r="DD7" i="5"/>
  <c r="CT13" i="15" l="1"/>
  <c r="DD13" i="6"/>
  <c r="DD7" i="4"/>
  <c r="DD9" i="7" s="1"/>
  <c r="DC11" i="6"/>
  <c r="CU22" i="15"/>
  <c r="CU19" i="15" l="1"/>
  <c r="DE9" i="4"/>
  <c r="CU31" i="15"/>
  <c r="DC7" i="3"/>
  <c r="CT4" i="15"/>
  <c r="DD15" i="3"/>
  <c r="CU10" i="15"/>
  <c r="DD7" i="6" l="1"/>
  <c r="CU7" i="15"/>
  <c r="CT1" i="15"/>
  <c r="DD11" i="3"/>
  <c r="DD13" i="3"/>
  <c r="DD13" i="4" l="1"/>
  <c r="CU37" i="15"/>
  <c r="CU28" i="15"/>
  <c r="DD9" i="5"/>
  <c r="DD7" i="7"/>
  <c r="CU16" i="15" l="1"/>
  <c r="DD11" i="8"/>
  <c r="DD9" i="6" s="1"/>
  <c r="CU34" i="15"/>
  <c r="DD11" i="4"/>
  <c r="CU25" i="15"/>
  <c r="DE7" i="5"/>
  <c r="CV22" i="15" l="1"/>
  <c r="CU13" i="15"/>
  <c r="DE13" i="6"/>
  <c r="DE7" i="4"/>
  <c r="DE9" i="7" s="1"/>
  <c r="DD11" i="6"/>
  <c r="DD7" i="3" l="1"/>
  <c r="CU4" i="15"/>
  <c r="CV19" i="15"/>
  <c r="CV10" i="15"/>
  <c r="DE15" i="3"/>
  <c r="CV31" i="15"/>
  <c r="DF9" i="4"/>
  <c r="CU1" i="15" l="1"/>
  <c r="DE13" i="3"/>
  <c r="DE11" i="3"/>
  <c r="CV7" i="15"/>
  <c r="DE7" i="6"/>
  <c r="CV28" i="15" l="1"/>
  <c r="DE9" i="5"/>
  <c r="DE7" i="7"/>
  <c r="DE13" i="4"/>
  <c r="CV37" i="15"/>
  <c r="DE11" i="8" l="1"/>
  <c r="DE9" i="6" s="1"/>
  <c r="CV16" i="15"/>
  <c r="CV25" i="15"/>
  <c r="DF7" i="5"/>
  <c r="CV34" i="15"/>
  <c r="DE11" i="4"/>
  <c r="DF7" i="4" l="1"/>
  <c r="DF9" i="7" s="1"/>
  <c r="DE11" i="6"/>
  <c r="CV13" i="15"/>
  <c r="DF13" i="6"/>
  <c r="CW22" i="15"/>
  <c r="CW19" i="15" l="1"/>
  <c r="CW10" i="15"/>
  <c r="DF15" i="3"/>
  <c r="DG9" i="4"/>
  <c r="CW31" i="15"/>
  <c r="CV4" i="15"/>
  <c r="DE7" i="3"/>
  <c r="CW7" i="15" l="1"/>
  <c r="DF7" i="6"/>
  <c r="CV1" i="15"/>
  <c r="DF11" i="3"/>
  <c r="DF13" i="3"/>
  <c r="DF9" i="5" l="1"/>
  <c r="CW28" i="15"/>
  <c r="DF7" i="7"/>
  <c r="CW37" i="15"/>
  <c r="DF13" i="4"/>
  <c r="DF11" i="8" l="1"/>
  <c r="DF9" i="6" s="1"/>
  <c r="CW16" i="15"/>
  <c r="CW25" i="15"/>
  <c r="DG7" i="5"/>
  <c r="CW34" i="15"/>
  <c r="DF11" i="4"/>
  <c r="DG7" i="4" l="1"/>
  <c r="DF11" i="6"/>
  <c r="CW13" i="15"/>
  <c r="DG13" i="6"/>
  <c r="DG9" i="7"/>
  <c r="CX22" i="15"/>
  <c r="CX10" i="15" l="1"/>
  <c r="DG15" i="3"/>
  <c r="DH9" i="4"/>
  <c r="CX31" i="15"/>
  <c r="DF7" i="3"/>
  <c r="CW4" i="15"/>
  <c r="CX19" i="15"/>
  <c r="DG7" i="6" l="1"/>
  <c r="CX7" i="15"/>
  <c r="CW1" i="15"/>
  <c r="DG13" i="3"/>
  <c r="DG11" i="3"/>
  <c r="DG9" i="5" l="1"/>
  <c r="CX28" i="15"/>
  <c r="DG7" i="7"/>
  <c r="CX37" i="15"/>
  <c r="DG13" i="4"/>
  <c r="CX25" i="15" l="1"/>
  <c r="DH7" i="5"/>
  <c r="CX34" i="15"/>
  <c r="DG11" i="4"/>
  <c r="CX16" i="15"/>
  <c r="DG11" i="8"/>
  <c r="DG9" i="6" s="1"/>
  <c r="CY22" i="15" l="1"/>
  <c r="CX13" i="15"/>
  <c r="DH13" i="6"/>
  <c r="DH7" i="4"/>
  <c r="DH9" i="7" s="1"/>
  <c r="DG11" i="6"/>
  <c r="CY10" i="15" l="1"/>
  <c r="DH15" i="3"/>
  <c r="DI9" i="4"/>
  <c r="CY31" i="15"/>
  <c r="DG7" i="3"/>
  <c r="CX4" i="15"/>
  <c r="CY19" i="15"/>
  <c r="CY7" i="15" l="1"/>
  <c r="DH7" i="6"/>
  <c r="CX1" i="15"/>
  <c r="DH13" i="3"/>
  <c r="DH11" i="3"/>
  <c r="CY28" i="15" l="1"/>
  <c r="DH9" i="5"/>
  <c r="DH7" i="7"/>
  <c r="DH13" i="4"/>
  <c r="CY37" i="15"/>
  <c r="CY34" i="15" l="1"/>
  <c r="DH11" i="4"/>
  <c r="CY25" i="15"/>
  <c r="DI7" i="5"/>
  <c r="CY16" i="15"/>
  <c r="DH11" i="8"/>
  <c r="DH9" i="6" s="1"/>
  <c r="CY13" i="15" l="1"/>
  <c r="DI13" i="6"/>
  <c r="DI7" i="4"/>
  <c r="DI9" i="7" s="1"/>
  <c r="DH11" i="6"/>
  <c r="CZ22" i="15"/>
  <c r="CZ10" i="15" l="1"/>
  <c r="DI15" i="3"/>
  <c r="CZ19" i="15"/>
  <c r="CZ31" i="15"/>
  <c r="DJ9" i="4"/>
  <c r="DH7" i="3"/>
  <c r="CY4" i="15"/>
  <c r="CY1" i="15" l="1"/>
  <c r="DI13" i="3"/>
  <c r="DI11" i="3"/>
  <c r="CZ7" i="15"/>
  <c r="DI7" i="6"/>
  <c r="CZ28" i="15" l="1"/>
  <c r="DI9" i="5"/>
  <c r="DI7" i="7"/>
  <c r="DI13" i="4"/>
  <c r="CZ37" i="15"/>
  <c r="CZ34" i="15" l="1"/>
  <c r="DI11" i="4"/>
  <c r="CZ25" i="15"/>
  <c r="DJ7" i="5"/>
  <c r="DI11" i="8"/>
  <c r="DI9" i="6" s="1"/>
  <c r="CZ16" i="15"/>
  <c r="CZ13" i="15" l="1"/>
  <c r="DJ13" i="6"/>
  <c r="DJ7" i="4"/>
  <c r="DJ9" i="7" s="1"/>
  <c r="DI11" i="6"/>
  <c r="DA22" i="15"/>
  <c r="DJ15" i="3" l="1"/>
  <c r="DA10" i="15"/>
  <c r="DA19" i="15"/>
  <c r="DK9" i="4"/>
  <c r="DA31" i="15"/>
  <c r="CZ4" i="15"/>
  <c r="DI7" i="3"/>
  <c r="CZ1" i="15" l="1"/>
  <c r="DJ11" i="3"/>
  <c r="DJ13" i="3"/>
  <c r="DA7" i="15"/>
  <c r="DJ7" i="6"/>
  <c r="DA37" i="15" l="1"/>
  <c r="DJ13" i="4"/>
  <c r="DJ9" i="5"/>
  <c r="DA28" i="15"/>
  <c r="DJ7" i="7"/>
  <c r="DJ11" i="8" l="1"/>
  <c r="DJ9" i="6" s="1"/>
  <c r="DA16" i="15"/>
  <c r="DA34" i="15"/>
  <c r="DJ11" i="4"/>
  <c r="DA25" i="15"/>
  <c r="DK7" i="5"/>
  <c r="DA13" i="15" l="1"/>
  <c r="DK13" i="6"/>
  <c r="DK7" i="4"/>
  <c r="DK9" i="7" s="1"/>
  <c r="DJ11" i="6"/>
  <c r="DB22" i="15"/>
  <c r="DB19" i="15" l="1"/>
  <c r="DL9" i="4"/>
  <c r="DB31" i="15"/>
  <c r="DB10" i="15"/>
  <c r="DK15" i="3"/>
  <c r="DA4" i="15"/>
  <c r="DJ7" i="3"/>
  <c r="DA1" i="15" l="1"/>
  <c r="DK13" i="3"/>
  <c r="DK11" i="3"/>
  <c r="DB7" i="15"/>
  <c r="DK7" i="6"/>
  <c r="DB28" i="15" l="1"/>
  <c r="DK9" i="5"/>
  <c r="DK7" i="7"/>
  <c r="DK13" i="4"/>
  <c r="DB37" i="15"/>
  <c r="DB34" i="15" l="1"/>
  <c r="DK11" i="4"/>
  <c r="DB25" i="15"/>
  <c r="DL7" i="5"/>
  <c r="DB16" i="15"/>
  <c r="DK11" i="8"/>
  <c r="DK9" i="6" s="1"/>
  <c r="DB13" i="15" l="1"/>
  <c r="DL13" i="6"/>
  <c r="DL7" i="4"/>
  <c r="DL9" i="7" s="1"/>
  <c r="DK11" i="6"/>
  <c r="DC22" i="15"/>
  <c r="DC19" i="15" l="1"/>
  <c r="DC31" i="15"/>
  <c r="DM9" i="4"/>
  <c r="DC10" i="15"/>
  <c r="DL15" i="3"/>
  <c r="DB4" i="15"/>
  <c r="DK7" i="3"/>
  <c r="DN9" i="4" l="1"/>
  <c r="DB1" i="15"/>
  <c r="DL11" i="3"/>
  <c r="DL13" i="3"/>
  <c r="DC7" i="15"/>
  <c r="DL7" i="6"/>
  <c r="DL9" i="5" l="1"/>
  <c r="DC28" i="15"/>
  <c r="DL7" i="7"/>
  <c r="DL13" i="4"/>
  <c r="DC37" i="15"/>
  <c r="DC25" i="15" l="1"/>
  <c r="DM7" i="5"/>
  <c r="DC34" i="15"/>
  <c r="DL11" i="4"/>
  <c r="DC16" i="15"/>
  <c r="DL11" i="8"/>
  <c r="DL9" i="6" s="1"/>
  <c r="DC13" i="15" l="1"/>
  <c r="DM13" i="6"/>
  <c r="DD22" i="15"/>
  <c r="DN7" i="5"/>
  <c r="DM7" i="4"/>
  <c r="DL11" i="6"/>
  <c r="DM15" i="3" l="1"/>
  <c r="DD10" i="15"/>
  <c r="DN13" i="6"/>
  <c r="DO9" i="4"/>
  <c r="DN7" i="4"/>
  <c r="DD31" i="15"/>
  <c r="DM9" i="7"/>
  <c r="DL7" i="3"/>
  <c r="DC4" i="15"/>
  <c r="DD19" i="15" l="1"/>
  <c r="DN9" i="7"/>
  <c r="DD7" i="15"/>
  <c r="DM7" i="6"/>
  <c r="DN7" i="6"/>
  <c r="DN15" i="3"/>
  <c r="DC1" i="15"/>
  <c r="DM13" i="3"/>
  <c r="DM7" i="7" s="1"/>
  <c r="DM11" i="3"/>
  <c r="DD16" i="15" l="1"/>
  <c r="DM11" i="8"/>
  <c r="DN11" i="8" s="1"/>
  <c r="DN7" i="7"/>
  <c r="DD37" i="15"/>
  <c r="DM13" i="4"/>
  <c r="DN11" i="3"/>
  <c r="DD28" i="15"/>
  <c r="DM9" i="5"/>
  <c r="DN13" i="3"/>
  <c r="DM9" i="6" l="1"/>
  <c r="DO13" i="6" s="1"/>
  <c r="DD25" i="15"/>
  <c r="DN9" i="5"/>
  <c r="DO7" i="5"/>
  <c r="DN13" i="4"/>
  <c r="DD34" i="15"/>
  <c r="DM11" i="4"/>
  <c r="DN9" i="6" l="1"/>
  <c r="DD13" i="15"/>
  <c r="DO15" i="3"/>
  <c r="DE10" i="15"/>
  <c r="DE22" i="15"/>
  <c r="DN11" i="4"/>
  <c r="DO7" i="4"/>
  <c r="DO9" i="7" s="1"/>
  <c r="DM11" i="6"/>
  <c r="DE31" i="15" l="1"/>
  <c r="DP9" i="4"/>
  <c r="DO7" i="6"/>
  <c r="DE7" i="15"/>
  <c r="DM7" i="3"/>
  <c r="DD4" i="15"/>
  <c r="DN11" i="6"/>
  <c r="DE19" i="15"/>
  <c r="DD1" i="15" l="1"/>
  <c r="DN7" i="3"/>
  <c r="DO11" i="3"/>
  <c r="DO13" i="3"/>
  <c r="DE28" i="15" l="1"/>
  <c r="DO9" i="5"/>
  <c r="DO7" i="7"/>
  <c r="DE37" i="15"/>
  <c r="DO13" i="4"/>
  <c r="DE34" i="15" l="1"/>
  <c r="DO11" i="4"/>
  <c r="DE16" i="15"/>
  <c r="DO11" i="8"/>
  <c r="DO9" i="6" s="1"/>
  <c r="DE25" i="15"/>
  <c r="DP7" i="5"/>
  <c r="DE13" i="15" l="1"/>
  <c r="DP13" i="6"/>
  <c r="DF22" i="15"/>
  <c r="DO11" i="6"/>
  <c r="DP7" i="4"/>
  <c r="DF31" i="15" l="1"/>
  <c r="DQ9" i="4"/>
  <c r="DP15" i="3"/>
  <c r="DF10" i="15"/>
  <c r="DO7" i="3"/>
  <c r="DE4" i="15"/>
  <c r="DP9" i="7"/>
  <c r="DE1" i="15" l="1"/>
  <c r="DP11" i="3"/>
  <c r="DP13" i="3"/>
  <c r="DP7" i="7" s="1"/>
  <c r="DF19" i="15"/>
  <c r="DF7" i="15"/>
  <c r="DP7" i="6"/>
  <c r="DF16" i="15" l="1"/>
  <c r="DP11" i="8"/>
  <c r="DP9" i="6" s="1"/>
  <c r="DF37" i="15"/>
  <c r="DP13" i="4"/>
  <c r="DP9" i="5"/>
  <c r="DF28" i="15"/>
  <c r="DF13" i="15" l="1"/>
  <c r="DQ13" i="6"/>
  <c r="DF25" i="15"/>
  <c r="DQ7" i="5"/>
  <c r="DF34" i="15"/>
  <c r="DP11" i="4"/>
  <c r="DG10" i="15" l="1"/>
  <c r="DQ15" i="3"/>
  <c r="DQ7" i="4"/>
  <c r="DQ9" i="7" s="1"/>
  <c r="DP11" i="6"/>
  <c r="DG22" i="15"/>
  <c r="DG19" i="15" l="1"/>
  <c r="DG7" i="15"/>
  <c r="DQ7" i="6"/>
  <c r="DG31" i="15"/>
  <c r="DR9" i="4"/>
  <c r="DF4" i="15"/>
  <c r="DP7" i="3"/>
  <c r="DF1" i="15" l="1"/>
  <c r="DQ13" i="3"/>
  <c r="DQ11" i="3"/>
  <c r="DQ9" i="5" l="1"/>
  <c r="DG28" i="15"/>
  <c r="DQ7" i="7"/>
  <c r="DQ13" i="4"/>
  <c r="DG37" i="15"/>
  <c r="DG16" i="15" l="1"/>
  <c r="DQ11" i="8"/>
  <c r="DQ9" i="6" s="1"/>
  <c r="DG25" i="15"/>
  <c r="DR7" i="5"/>
  <c r="DG34" i="15"/>
  <c r="DQ11" i="4"/>
  <c r="DR7" i="4" l="1"/>
  <c r="DR9" i="7" s="1"/>
  <c r="DQ11" i="6"/>
  <c r="DH22" i="15"/>
  <c r="DG13" i="15"/>
  <c r="DR13" i="6"/>
  <c r="DS9" i="4" l="1"/>
  <c r="DH31" i="15"/>
  <c r="DQ7" i="3"/>
  <c r="DG4" i="15"/>
  <c r="DH19" i="15"/>
  <c r="DR15" i="3"/>
  <c r="DH10" i="15"/>
  <c r="DR7" i="6" l="1"/>
  <c r="DH7" i="15"/>
  <c r="DG1" i="15"/>
  <c r="DR11" i="3"/>
  <c r="DR13" i="3"/>
  <c r="DH28" i="15" l="1"/>
  <c r="DR9" i="5"/>
  <c r="DR7" i="7"/>
  <c r="DH37" i="15"/>
  <c r="DR13" i="4"/>
  <c r="DH25" i="15" l="1"/>
  <c r="DS7" i="5"/>
  <c r="DR11" i="8"/>
  <c r="DR9" i="6" s="1"/>
  <c r="DH16" i="15"/>
  <c r="DH34" i="15"/>
  <c r="DR11" i="4"/>
  <c r="DS7" i="4" l="1"/>
  <c r="DS9" i="7" s="1"/>
  <c r="DR11" i="6"/>
  <c r="DI22" i="15"/>
  <c r="DH13" i="15"/>
  <c r="DS13" i="6"/>
  <c r="DI19" i="15" l="1"/>
  <c r="DT9" i="4"/>
  <c r="DI31" i="15"/>
  <c r="DS15" i="3"/>
  <c r="DI10" i="15"/>
  <c r="DR7" i="3"/>
  <c r="DH4" i="15"/>
  <c r="DH1" i="15" l="1"/>
  <c r="DS13" i="3"/>
  <c r="DS11" i="3"/>
  <c r="DI7" i="15"/>
  <c r="DS7" i="6"/>
  <c r="DI28" i="15" l="1"/>
  <c r="DS9" i="5"/>
  <c r="DS7" i="7"/>
  <c r="DI37" i="15"/>
  <c r="DS13" i="4"/>
  <c r="DS11" i="8" l="1"/>
  <c r="DS9" i="6" s="1"/>
  <c r="DI16" i="15"/>
  <c r="DI34" i="15"/>
  <c r="DS11" i="4"/>
  <c r="DI25" i="15"/>
  <c r="DT7" i="5"/>
  <c r="DI13" i="15" l="1"/>
  <c r="DT13" i="6"/>
  <c r="DJ22" i="15"/>
  <c r="DT7" i="4"/>
  <c r="DS11" i="6"/>
  <c r="DS7" i="3" l="1"/>
  <c r="DI4" i="15"/>
  <c r="DJ10" i="15"/>
  <c r="DT15" i="3"/>
  <c r="DU9" i="4"/>
  <c r="DJ31" i="15"/>
  <c r="DT9" i="7"/>
  <c r="DJ7" i="15" l="1"/>
  <c r="DT7" i="6"/>
  <c r="DI1" i="15"/>
  <c r="DT11" i="3"/>
  <c r="DT13" i="3"/>
  <c r="DT7" i="7" s="1"/>
  <c r="DJ19" i="15"/>
  <c r="DJ16" i="15" l="1"/>
  <c r="DT11" i="8"/>
  <c r="DT9" i="6" s="1"/>
  <c r="DT13" i="4"/>
  <c r="DJ37" i="15"/>
  <c r="DJ28" i="15"/>
  <c r="DT9" i="5"/>
  <c r="DJ13" i="15" l="1"/>
  <c r="DU13" i="6"/>
  <c r="DJ25" i="15"/>
  <c r="DU7" i="5"/>
  <c r="DJ34" i="15"/>
  <c r="DT11" i="4"/>
  <c r="DK10" i="15" l="1"/>
  <c r="DU15" i="3"/>
  <c r="DU7" i="4"/>
  <c r="DU9" i="7" s="1"/>
  <c r="DT11" i="6"/>
  <c r="DK22" i="15"/>
  <c r="DJ4" i="15" l="1"/>
  <c r="DT7" i="3"/>
  <c r="DU7" i="6"/>
  <c r="DK7" i="15"/>
  <c r="DK19" i="15"/>
  <c r="DV9" i="4"/>
  <c r="DK31" i="15"/>
  <c r="DJ1" i="15" l="1"/>
  <c r="DU13" i="3"/>
  <c r="DU11" i="3"/>
  <c r="DU13" i="4" l="1"/>
  <c r="DK37" i="15"/>
  <c r="DU9" i="5"/>
  <c r="DK28" i="15"/>
  <c r="DU7" i="7"/>
  <c r="DK34" i="15" l="1"/>
  <c r="DU11" i="4"/>
  <c r="DU11" i="8"/>
  <c r="DU9" i="6" s="1"/>
  <c r="DK16" i="15"/>
  <c r="DK25" i="15"/>
  <c r="DV7" i="5"/>
  <c r="DU11" i="6" l="1"/>
  <c r="DV7" i="4"/>
  <c r="DV9" i="7" s="1"/>
  <c r="DL22" i="15"/>
  <c r="DK13" i="15"/>
  <c r="DV13" i="6"/>
  <c r="DK4" i="15" l="1"/>
  <c r="DU7" i="3"/>
  <c r="DL31" i="15"/>
  <c r="DW9" i="4"/>
  <c r="DV15" i="3"/>
  <c r="DL10" i="15"/>
  <c r="DL19" i="15"/>
  <c r="DK1" i="15" l="1"/>
  <c r="DV13" i="3"/>
  <c r="DV11" i="3"/>
  <c r="DL7" i="15"/>
  <c r="DV7" i="6"/>
  <c r="DV9" i="5" l="1"/>
  <c r="DL28" i="15"/>
  <c r="DV7" i="7"/>
  <c r="DL37" i="15"/>
  <c r="DV13" i="4"/>
  <c r="DL34" i="15" l="1"/>
  <c r="DV11" i="4"/>
  <c r="DL25" i="15"/>
  <c r="DW7" i="5"/>
  <c r="DV11" i="8"/>
  <c r="DV9" i="6" s="1"/>
  <c r="DL16" i="15"/>
  <c r="DL13" i="15" l="1"/>
  <c r="DW13" i="6"/>
  <c r="DW7" i="4"/>
  <c r="DW9" i="7" s="1"/>
  <c r="DV11" i="6"/>
  <c r="DM22" i="15"/>
  <c r="DW15" i="3" l="1"/>
  <c r="DM10" i="15"/>
  <c r="DM19" i="15"/>
  <c r="DM31" i="15"/>
  <c r="DX9" i="4"/>
  <c r="DV7" i="3"/>
  <c r="DL4" i="15"/>
  <c r="DL1" i="15" l="1"/>
  <c r="DW13" i="3"/>
  <c r="DW11" i="3"/>
  <c r="DM7" i="15"/>
  <c r="DW7" i="6"/>
  <c r="DM28" i="15" l="1"/>
  <c r="DW9" i="5"/>
  <c r="DW7" i="7"/>
  <c r="DW13" i="4"/>
  <c r="DM37" i="15"/>
  <c r="DM34" i="15" l="1"/>
  <c r="DW11" i="4"/>
  <c r="DM25" i="15"/>
  <c r="DX7" i="5"/>
  <c r="DW11" i="8"/>
  <c r="DW9" i="6" s="1"/>
  <c r="DM16" i="15"/>
  <c r="DM13" i="15" l="1"/>
  <c r="DX13" i="6"/>
  <c r="DX7" i="4"/>
  <c r="DX9" i="7" s="1"/>
  <c r="DW11" i="6"/>
  <c r="DN22" i="15"/>
  <c r="DX15" i="3" l="1"/>
  <c r="DN10" i="15"/>
  <c r="DN19" i="15"/>
  <c r="DY9" i="4"/>
  <c r="DN31" i="15"/>
  <c r="DM4" i="15"/>
  <c r="DW7" i="3"/>
  <c r="DX7" i="6" l="1"/>
  <c r="DN7" i="15"/>
  <c r="DM1" i="15"/>
  <c r="DX11" i="3"/>
  <c r="DX13" i="3"/>
  <c r="DN37" i="15" l="1"/>
  <c r="DX13" i="4"/>
  <c r="DX9" i="5"/>
  <c r="DN28" i="15"/>
  <c r="DX7" i="7"/>
  <c r="DN16" i="15" l="1"/>
  <c r="DX11" i="8"/>
  <c r="DX9" i="6" s="1"/>
  <c r="DN34" i="15"/>
  <c r="DX11" i="4"/>
  <c r="DN25" i="15"/>
  <c r="DY7" i="5"/>
  <c r="DY7" i="4" l="1"/>
  <c r="DX11" i="6"/>
  <c r="DO22" i="15"/>
  <c r="DN13" i="15"/>
  <c r="DY13" i="6"/>
  <c r="DO31" i="15" l="1"/>
  <c r="DZ9" i="4"/>
  <c r="DN4" i="15"/>
  <c r="DX7" i="3"/>
  <c r="DO10" i="15"/>
  <c r="DY15" i="3"/>
  <c r="DY9" i="7"/>
  <c r="DN1" i="15" l="1"/>
  <c r="DY13" i="3"/>
  <c r="DY7" i="7" s="1"/>
  <c r="DY11" i="3"/>
  <c r="EA9" i="4"/>
  <c r="DO19" i="15"/>
  <c r="DY7" i="6"/>
  <c r="DO7" i="15"/>
  <c r="DY11" i="8" l="1"/>
  <c r="DY9" i="6" s="1"/>
  <c r="DO16" i="15"/>
  <c r="DY13" i="4"/>
  <c r="DO37" i="15"/>
  <c r="DY9" i="5"/>
  <c r="DO28" i="15"/>
  <c r="DO13" i="15" l="1"/>
  <c r="DZ13" i="6"/>
  <c r="DO25" i="15"/>
  <c r="DZ7" i="5"/>
  <c r="DO34" i="15"/>
  <c r="DY11" i="4"/>
  <c r="DZ15" i="3" l="1"/>
  <c r="DP10" i="15"/>
  <c r="EA13" i="6"/>
  <c r="DZ7" i="4"/>
  <c r="DY11" i="6"/>
  <c r="EA7" i="5"/>
  <c r="DP22" i="15"/>
  <c r="DP7" i="15" l="1"/>
  <c r="DZ7" i="6"/>
  <c r="EA15" i="3"/>
  <c r="EA7" i="6"/>
  <c r="EA7" i="4"/>
  <c r="EB9" i="4"/>
  <c r="DP31" i="15"/>
  <c r="DY7" i="3"/>
  <c r="DO4" i="15"/>
  <c r="DZ9" i="7"/>
  <c r="DO1" i="15" l="1"/>
  <c r="DZ13" i="3"/>
  <c r="DZ7" i="7" s="1"/>
  <c r="DZ11" i="3"/>
  <c r="DP19" i="15"/>
  <c r="EA9" i="7"/>
  <c r="DP28" i="15" l="1"/>
  <c r="DZ9" i="5"/>
  <c r="EA13" i="3"/>
  <c r="DP37" i="15"/>
  <c r="DZ13" i="4"/>
  <c r="EA11" i="3"/>
  <c r="DP16" i="15"/>
  <c r="DZ11" i="8"/>
  <c r="EA11" i="8" s="1"/>
  <c r="EA7" i="7"/>
  <c r="DZ9" i="6" l="1"/>
  <c r="EA9" i="6" s="1"/>
  <c r="DP25" i="15"/>
  <c r="EA9" i="5"/>
  <c r="EB7" i="5"/>
  <c r="EA13" i="4"/>
  <c r="DP34" i="15"/>
  <c r="DZ11" i="4"/>
  <c r="EB13" i="6" l="1"/>
  <c r="EB15" i="3" s="1"/>
  <c r="DP13" i="15"/>
  <c r="EA11" i="4"/>
  <c r="EB7" i="4"/>
  <c r="DZ11" i="6"/>
  <c r="DQ22" i="15"/>
  <c r="DQ10" i="15" l="1"/>
  <c r="DQ7" i="15"/>
  <c r="EB7" i="6"/>
  <c r="DQ31" i="15"/>
  <c r="EC9" i="4"/>
  <c r="DZ7" i="3"/>
  <c r="DP4" i="15"/>
  <c r="EA11" i="6"/>
  <c r="EB9" i="7"/>
  <c r="DP1" i="15" l="1"/>
  <c r="EA7" i="3"/>
  <c r="EB13" i="3"/>
  <c r="EB7" i="7" s="1"/>
  <c r="EB11" i="3"/>
  <c r="DQ19" i="15"/>
  <c r="DQ16" i="15" l="1"/>
  <c r="EB11" i="8"/>
  <c r="DQ28" i="15"/>
  <c r="EB9" i="5"/>
  <c r="EB13" i="4"/>
  <c r="DQ37" i="15"/>
  <c r="DQ34" i="15" l="1"/>
  <c r="EB11" i="4"/>
  <c r="DQ25" i="15"/>
  <c r="EC7" i="5"/>
  <c r="EB9" i="6"/>
  <c r="DR22" i="15" l="1"/>
  <c r="DQ13" i="15"/>
  <c r="EC13" i="6"/>
  <c r="EB11" i="6"/>
  <c r="EC7" i="4"/>
  <c r="EC9" i="7" s="1"/>
  <c r="DR19" i="15" l="1"/>
  <c r="ED9" i="4"/>
  <c r="DR31" i="15"/>
  <c r="EC15" i="3"/>
  <c r="DR10" i="15"/>
  <c r="DQ4" i="15"/>
  <c r="EB7" i="3"/>
  <c r="EC7" i="6" l="1"/>
  <c r="DR7" i="15"/>
  <c r="DQ1" i="15"/>
  <c r="EC11" i="3"/>
  <c r="EC13" i="3"/>
  <c r="EC9" i="5" l="1"/>
  <c r="DR28" i="15"/>
  <c r="EC7" i="7"/>
  <c r="DR37" i="15"/>
  <c r="EC13" i="4"/>
  <c r="DR25" i="15" l="1"/>
  <c r="ED7" i="5"/>
  <c r="DR16" i="15"/>
  <c r="EC11" i="8"/>
  <c r="DR34" i="15"/>
  <c r="EC11" i="4"/>
  <c r="ED7" i="4" l="1"/>
  <c r="EC11" i="6"/>
  <c r="DS22" i="15"/>
  <c r="EC9" i="6"/>
  <c r="DS31" i="15" l="1"/>
  <c r="EE9" i="4"/>
  <c r="EC7" i="3"/>
  <c r="DR4" i="15"/>
  <c r="DR13" i="15"/>
  <c r="ED13" i="6"/>
  <c r="ED9" i="7"/>
  <c r="DS19" i="15" l="1"/>
  <c r="DS10" i="15"/>
  <c r="ED15" i="3"/>
  <c r="DR1" i="15"/>
  <c r="ED11" i="3"/>
  <c r="ED13" i="3"/>
  <c r="ED7" i="7" s="1"/>
  <c r="ED11" i="8" l="1"/>
  <c r="ED9" i="6" s="1"/>
  <c r="DS16" i="15"/>
  <c r="ED7" i="6"/>
  <c r="DS7" i="15"/>
  <c r="DS28" i="15"/>
  <c r="ED9" i="5"/>
  <c r="DS37" i="15"/>
  <c r="ED13" i="4"/>
  <c r="DS34" i="15" l="1"/>
  <c r="ED11" i="4"/>
  <c r="DS13" i="15"/>
  <c r="EE13" i="6"/>
  <c r="DS25" i="15"/>
  <c r="EE7" i="5"/>
  <c r="DT10" i="15" l="1"/>
  <c r="EE15" i="3"/>
  <c r="EE7" i="4"/>
  <c r="EE9" i="7" s="1"/>
  <c r="ED11" i="6"/>
  <c r="DT22" i="15"/>
  <c r="DT31" i="15" l="1"/>
  <c r="EF9" i="4"/>
  <c r="ED7" i="3"/>
  <c r="DS4" i="15"/>
  <c r="EE7" i="6"/>
  <c r="DT7" i="15"/>
  <c r="DT19" i="15"/>
  <c r="DS1" i="15" l="1"/>
  <c r="EE13" i="3"/>
  <c r="EE11" i="3"/>
  <c r="DT28" i="15" l="1"/>
  <c r="EE9" i="5"/>
  <c r="EE7" i="7"/>
  <c r="DT37" i="15"/>
  <c r="EE13" i="4"/>
  <c r="DT25" i="15" l="1"/>
  <c r="EF7" i="5"/>
  <c r="DT34" i="15"/>
  <c r="EE11" i="4"/>
  <c r="DT16" i="15"/>
  <c r="EE11" i="8"/>
  <c r="EE9" i="6" s="1"/>
  <c r="EF7" i="4" l="1"/>
  <c r="EF9" i="7" s="1"/>
  <c r="EE11" i="6"/>
  <c r="DT13" i="15"/>
  <c r="EF13" i="6"/>
  <c r="DU22" i="15"/>
  <c r="DU19" i="15" l="1"/>
  <c r="DU31" i="15"/>
  <c r="EG9" i="4"/>
  <c r="DU10" i="15"/>
  <c r="EF15" i="3"/>
  <c r="EE7" i="3"/>
  <c r="DT4" i="15"/>
  <c r="DT1" i="15" l="1"/>
  <c r="EF11" i="3"/>
  <c r="EF13" i="3"/>
  <c r="EF7" i="6"/>
  <c r="DU7" i="15"/>
  <c r="EF9" i="5" l="1"/>
  <c r="DU28" i="15"/>
  <c r="EF7" i="7"/>
  <c r="DU37" i="15"/>
  <c r="EF13" i="4"/>
  <c r="DU16" i="15" l="1"/>
  <c r="EF11" i="8"/>
  <c r="EF9" i="6" s="1"/>
  <c r="DU25" i="15"/>
  <c r="EG7" i="5"/>
  <c r="DU34" i="15"/>
  <c r="EF11" i="4"/>
  <c r="EG7" i="4" l="1"/>
  <c r="EG9" i="7" s="1"/>
  <c r="EF11" i="6"/>
  <c r="DU13" i="15"/>
  <c r="EG13" i="6"/>
  <c r="DV22" i="15"/>
  <c r="EG15" i="3" l="1"/>
  <c r="DV10" i="15"/>
  <c r="EH9" i="4"/>
  <c r="DV31" i="15"/>
  <c r="DV19" i="15"/>
  <c r="DU4" i="15"/>
  <c r="EF7" i="3"/>
  <c r="EG7" i="6" l="1"/>
  <c r="DV7" i="15"/>
  <c r="DU1" i="15"/>
  <c r="EG11" i="3"/>
  <c r="EG13" i="3"/>
  <c r="DV28" i="15" l="1"/>
  <c r="EG9" i="5"/>
  <c r="EG7" i="7"/>
  <c r="DV37" i="15"/>
  <c r="EG13" i="4"/>
  <c r="DV25" i="15" l="1"/>
  <c r="EH7" i="5"/>
  <c r="DV34" i="15"/>
  <c r="EG11" i="4"/>
  <c r="EG11" i="8"/>
  <c r="EG9" i="6" s="1"/>
  <c r="DV16" i="15"/>
  <c r="DV13" i="15" l="1"/>
  <c r="EH13" i="6"/>
  <c r="DW22" i="15"/>
  <c r="EH7" i="4"/>
  <c r="EH9" i="7" s="1"/>
  <c r="EG11" i="6"/>
  <c r="DW19" i="15" l="1"/>
  <c r="EH15" i="3"/>
  <c r="DW10" i="15"/>
  <c r="EI9" i="4"/>
  <c r="DW31" i="15"/>
  <c r="DV4" i="15"/>
  <c r="EG7" i="3"/>
  <c r="DV1" i="15" l="1"/>
  <c r="EH11" i="3"/>
  <c r="EH13" i="3"/>
  <c r="DW7" i="15"/>
  <c r="EH7" i="6"/>
  <c r="EH13" i="4" l="1"/>
  <c r="DW37" i="15"/>
  <c r="DW28" i="15"/>
  <c r="EH9" i="5"/>
  <c r="EH7" i="7"/>
  <c r="DW25" i="15" l="1"/>
  <c r="EI7" i="5"/>
  <c r="DW34" i="15"/>
  <c r="EH11" i="4"/>
  <c r="DW16" i="15"/>
  <c r="EH11" i="8"/>
  <c r="EH9" i="6" s="1"/>
  <c r="DW13" i="15" l="1"/>
  <c r="EI13" i="6"/>
  <c r="DX22" i="15"/>
  <c r="EI7" i="4"/>
  <c r="EI9" i="7" s="1"/>
  <c r="EH11" i="6"/>
  <c r="DX31" i="15" l="1"/>
  <c r="EJ9" i="4"/>
  <c r="EI15" i="3"/>
  <c r="DX10" i="15"/>
  <c r="DW4" i="15"/>
  <c r="EH7" i="3"/>
  <c r="DX19" i="15"/>
  <c r="DW1" i="15" l="1"/>
  <c r="EI13" i="3"/>
  <c r="EI11" i="3"/>
  <c r="DX7" i="15"/>
  <c r="EI7" i="6"/>
  <c r="DX28" i="15" l="1"/>
  <c r="EI9" i="5"/>
  <c r="EI7" i="7"/>
  <c r="DX37" i="15"/>
  <c r="EI13" i="4"/>
  <c r="DX25" i="15" l="1"/>
  <c r="EJ7" i="5"/>
  <c r="DX34" i="15"/>
  <c r="EI11" i="4"/>
  <c r="DX16" i="15"/>
  <c r="EI11" i="8"/>
  <c r="EI9" i="6" s="1"/>
  <c r="DX13" i="15" l="1"/>
  <c r="EJ13" i="6"/>
  <c r="DY22" i="15"/>
  <c r="EJ7" i="4"/>
  <c r="EI11" i="6"/>
  <c r="EJ15" i="3" l="1"/>
  <c r="DY10" i="15"/>
  <c r="EI7" i="3"/>
  <c r="DX4" i="15"/>
  <c r="EK9" i="4"/>
  <c r="DY31" i="15"/>
  <c r="EJ9" i="7"/>
  <c r="DY19" i="15" l="1"/>
  <c r="DY7" i="15"/>
  <c r="EJ7" i="6"/>
  <c r="DX1" i="15"/>
  <c r="EJ13" i="3"/>
  <c r="EJ7" i="7" s="1"/>
  <c r="EJ11" i="3"/>
  <c r="DY16" i="15" l="1"/>
  <c r="EJ11" i="8"/>
  <c r="EJ9" i="6" s="1"/>
  <c r="DY28" i="15"/>
  <c r="EJ9" i="5"/>
  <c r="DY37" i="15"/>
  <c r="EJ13" i="4"/>
  <c r="DY34" i="15" l="1"/>
  <c r="EJ11" i="4"/>
  <c r="DY25" i="15"/>
  <c r="EK7" i="5"/>
  <c r="DY13" i="15"/>
  <c r="EK13" i="6"/>
  <c r="EK15" i="3" l="1"/>
  <c r="DZ10" i="15"/>
  <c r="EK7" i="4"/>
  <c r="EK9" i="7" s="1"/>
  <c r="EJ11" i="6"/>
  <c r="DZ22" i="15"/>
  <c r="DZ19" i="15" l="1"/>
  <c r="EJ7" i="3"/>
  <c r="DY4" i="15"/>
  <c r="EK7" i="6"/>
  <c r="DZ7" i="15"/>
  <c r="EL9" i="4"/>
  <c r="DZ31" i="15"/>
  <c r="DY1" i="15" l="1"/>
  <c r="EK13" i="3"/>
  <c r="EK11" i="3"/>
  <c r="EK9" i="5" l="1"/>
  <c r="DZ28" i="15"/>
  <c r="EK7" i="7"/>
  <c r="DZ37" i="15"/>
  <c r="EK13" i="4"/>
  <c r="DZ34" i="15" l="1"/>
  <c r="EK11" i="4"/>
  <c r="DZ25" i="15"/>
  <c r="EL7" i="5"/>
  <c r="DZ16" i="15"/>
  <c r="EK11" i="8"/>
  <c r="EK9" i="6" s="1"/>
  <c r="DZ13" i="15" l="1"/>
  <c r="EL13" i="6"/>
  <c r="EK11" i="6"/>
  <c r="EL7" i="4"/>
  <c r="EL9" i="7" s="1"/>
  <c r="EA22" i="15"/>
  <c r="EA19" i="15" l="1"/>
  <c r="EK7" i="3"/>
  <c r="DZ4" i="15"/>
  <c r="EL15" i="3"/>
  <c r="EA10" i="15"/>
  <c r="EM9" i="4"/>
  <c r="EA31" i="15"/>
  <c r="EL7" i="6" l="1"/>
  <c r="EA7" i="15"/>
  <c r="DZ1" i="15"/>
  <c r="EL13" i="3"/>
  <c r="EL11" i="3"/>
  <c r="EN9" i="4"/>
  <c r="EL13" i="4" l="1"/>
  <c r="EA37" i="15"/>
  <c r="EA28" i="15"/>
  <c r="EL9" i="5"/>
  <c r="EL7" i="7"/>
  <c r="EA34" i="15" l="1"/>
  <c r="EL11" i="4"/>
  <c r="EA25" i="15"/>
  <c r="EM7" i="5"/>
  <c r="EL11" i="8"/>
  <c r="EL9" i="6" s="1"/>
  <c r="EA16" i="15"/>
  <c r="EA13" i="15" l="1"/>
  <c r="EM13" i="6"/>
  <c r="EM7" i="4"/>
  <c r="EL11" i="6"/>
  <c r="EN7" i="5"/>
  <c r="EB22" i="15"/>
  <c r="EM9" i="7"/>
  <c r="EB19" i="15" l="1"/>
  <c r="EN9" i="7"/>
  <c r="EB10" i="15"/>
  <c r="EM15" i="3"/>
  <c r="EN13" i="6"/>
  <c r="EB31" i="15"/>
  <c r="EN7" i="4"/>
  <c r="EA4" i="15"/>
  <c r="EL7" i="3"/>
  <c r="EM7" i="6" l="1"/>
  <c r="EB7" i="15"/>
  <c r="EN7" i="6"/>
  <c r="EN15" i="3"/>
  <c r="EA1" i="15"/>
  <c r="EM11" i="3"/>
  <c r="EM13" i="3"/>
  <c r="EB37" i="15" l="1"/>
  <c r="EM13" i="4"/>
  <c r="EN11" i="3"/>
  <c r="EM9" i="5"/>
  <c r="EB28" i="15"/>
  <c r="EN13" i="3"/>
  <c r="EM7" i="7"/>
  <c r="EN13" i="4" l="1"/>
  <c r="EB34" i="15"/>
  <c r="EM11" i="4"/>
  <c r="EB16" i="15"/>
  <c r="EM11" i="8"/>
  <c r="EN11" i="8" s="1"/>
  <c r="EN7" i="7"/>
  <c r="EB25" i="15"/>
  <c r="EN9" i="5"/>
  <c r="EM9" i="6" l="1"/>
  <c r="EN9" i="6" s="1"/>
  <c r="EN11" i="4"/>
  <c r="EM11" i="6"/>
  <c r="EB13" i="15" l="1"/>
  <c r="EB4" i="15"/>
  <c r="EM7" i="3"/>
  <c r="EN11" i="6"/>
  <c r="EB1" i="15" l="1"/>
  <c r="EN7" i="3"/>
</calcChain>
</file>

<file path=xl/comments1.xml><?xml version="1.0" encoding="utf-8"?>
<comments xmlns="http://schemas.openxmlformats.org/spreadsheetml/2006/main">
  <authors>
    <author>VISTA$</author>
  </authors>
  <commentList>
    <comment ref="A8" authorId="0" shapeId="0">
      <text>
        <r>
          <rPr>
            <b/>
            <sz val="8"/>
            <rFont val="Arial"/>
            <family val="2"/>
          </rPr>
          <t>Name by which this model is known, as it appears
at the top of each worksheet
(variable Model_Name)</t>
        </r>
      </text>
    </comment>
    <comment ref="A13" authorId="0" shapeId="0">
      <text>
        <r>
          <rPr>
            <b/>
            <sz val="8"/>
            <rFont val="Arial"/>
            <family val="2"/>
          </rPr>
          <t>The characteristic time needed for long-term
expected demand to adjust to changes in aggregate
demand, expressed in years
(variable Time_Smooth_Long_Demand)</t>
        </r>
      </text>
    </comment>
    <comment ref="A14" authorId="0" shapeId="0">
      <text>
        <r>
          <rPr>
            <b/>
            <sz val="8"/>
            <rFont val="Arial"/>
            <family val="2"/>
          </rPr>
          <t>The characteristic time needed for short-term
expected demand to adjust to changes in aggregate
demand, expressed in years
(variable Time_Smooth_Short_Demand)</t>
        </r>
      </text>
    </comment>
    <comment ref="A19" authorId="0" shapeId="0">
      <text>
        <r>
          <rPr>
            <b/>
            <sz val="8"/>
            <rFont val="Arial"/>
            <family val="2"/>
          </rPr>
          <t>The average lifetime of capital stock expressed in
years, in each time period
(variable Capital_Avg_Life)</t>
        </r>
      </text>
    </comment>
    <comment ref="A20" authorId="0" shapeId="0">
      <text>
        <r>
          <rPr>
            <b/>
            <sz val="8"/>
            <rFont val="Arial"/>
            <family val="2"/>
          </rPr>
          <t>The capital productivity exponent used in the
production function
(variable Capital_Expon)</t>
        </r>
      </text>
    </comment>
    <comment ref="A21" authorId="0" shapeId="0">
      <text>
        <r>
          <rPr>
            <b/>
            <sz val="8"/>
            <rFont val="Arial"/>
            <family val="2"/>
          </rPr>
          <t>Flexibility of capacity unitlization. Measures how
well the capital stock responds to short-term
changes in demand.
(variable Flexibility_Capacity_Utilization)</t>
        </r>
      </text>
    </comment>
    <comment ref="A22" authorId="0" shapeId="0">
      <text>
        <r>
          <rPr>
            <b/>
            <sz val="8"/>
            <rFont val="Arial"/>
            <family val="2"/>
          </rPr>
          <t>The characteristic time needed for the stock of
capital to adjust to changes in demand, expressed
in years
(variable Time_Adjust_Capital)</t>
        </r>
      </text>
    </comment>
    <comment ref="A27" authorId="0" shapeId="0">
      <text>
        <r>
          <rPr>
            <b/>
            <sz val="8"/>
            <rFont val="Arial"/>
            <family val="2"/>
          </rPr>
          <t>The equilibrium level of employment (in millions
of full-time-equivalent man-periods)
(variable Employment_Equilib)</t>
        </r>
      </text>
    </comment>
    <comment ref="A28" authorId="0" shapeId="0">
      <text>
        <r>
          <rPr>
            <b/>
            <sz val="8"/>
            <rFont val="Arial"/>
            <family val="2"/>
          </rPr>
          <t>The characteristic time needed for the level of
employment to respond to changes in demand,
expressed in years
(variable Time_Adjust_Employment)</t>
        </r>
      </text>
    </comment>
    <comment ref="A29" authorId="0" shapeId="0">
      <text>
        <r>
          <rPr>
            <b/>
            <sz val="8"/>
            <rFont val="Arial"/>
            <family val="2"/>
          </rPr>
          <t>The ratio (equilibrium real wage) / (national
income). This is a numerical input parameter of
the model.
(variable Real_Wage_Equilib_pct)</t>
        </r>
      </text>
    </comment>
    <comment ref="A34" authorId="0" shapeId="0">
      <text>
        <r>
          <rPr>
            <b/>
            <sz val="8"/>
            <rFont val="Arial"/>
            <family val="2"/>
          </rPr>
          <t>The propensity to consume, expressed as a percent
of output, in each time period
(variable Consumption_Avg_Propensity)</t>
        </r>
      </text>
    </comment>
    <comment ref="A35" authorId="0" shapeId="0">
      <text>
        <r>
          <rPr>
            <b/>
            <sz val="8"/>
            <rFont val="Arial"/>
            <family val="2"/>
          </rPr>
          <t>The characteristic time needed for consumers to
adjust their expectation of permanent income as
their incomes change, expressed in years
(variable Time_Smooth_Income)</t>
        </r>
      </text>
    </comment>
    <comment ref="A40" authorId="0" shapeId="0">
      <text>
        <r>
          <rPr>
            <b/>
            <sz val="8"/>
            <rFont val="Arial"/>
            <family val="2"/>
          </rPr>
          <t>Equilibrium annual output (in millions)
(variable Output_Equilib_Yr)</t>
        </r>
      </text>
    </comment>
    <comment ref="A45" authorId="0" shapeId="0">
      <text>
        <r>
          <rPr>
            <b/>
            <sz val="8"/>
            <rFont val="Arial"/>
            <family val="2"/>
          </rPr>
          <t>The long-term annual interest rate on debt. This
is a numerical input parameter of the model.
(variable Interest_Rate_Long_Yr)</t>
        </r>
      </text>
    </comment>
    <comment ref="A50" authorId="0" shapeId="0">
      <text>
        <r>
          <rPr>
            <b/>
            <sz val="8"/>
            <rFont val="Arial"/>
            <family val="2"/>
          </rPr>
          <t>The ratio (equilibrium government spending) /
(equilibrium output). This is a numerical input to
the model.
(variable Gov_Spend_Equilib_pct)</t>
        </r>
      </text>
    </comment>
    <comment ref="A51" authorId="0" shapeId="0">
      <text>
        <r>
          <rPr>
            <b/>
            <sz val="8"/>
            <rFont val="Arial"/>
            <family val="2"/>
          </rPr>
          <t>The ratio (equilibrium government transfer
payments) / (equilibrium output). This is a
numerical input to the model.
(variable Gov_Transfers_Equilib_pct)</t>
        </r>
      </text>
    </comment>
    <comment ref="A52" authorId="0" shapeId="0">
      <text>
        <r>
          <rPr>
            <b/>
            <sz val="8"/>
            <rFont val="Arial"/>
            <family val="2"/>
          </rPr>
          <t>The average rate of taxation of all kinds
including local, state and federal. This is a
numerical input parameter of the model.
(variable Tax_Rate)</t>
        </r>
      </text>
    </comment>
    <comment ref="A57" authorId="0" shapeId="0">
      <text>
        <r>
          <rPr>
            <b/>
            <sz val="8"/>
            <rFont val="Arial"/>
            <family val="2"/>
          </rPr>
          <t>The ratio (std dev of random shock) / (national
income). This parameter does not depend on time
because the model is based on an equilibrium
economy with random shocks. This is a numerical
input parameter of the model.
(variable Shock_Std_Dev_pct)</t>
        </r>
      </text>
    </comment>
    <comment ref="A58" authorId="0" shapeId="0">
      <text>
        <r>
          <rPr>
            <b/>
            <sz val="8"/>
            <rFont val="Arial"/>
            <family val="2"/>
          </rPr>
          <t>The limit in outliers for random shocks, expressed
in terms of the cumulative tail probability below
which shocks are not allowed.</t>
        </r>
      </text>
    </comment>
  </commentList>
</comments>
</file>

<file path=xl/comments10.xml><?xml version="1.0" encoding="utf-8"?>
<comments xmlns="http://schemas.openxmlformats.org/spreadsheetml/2006/main">
  <authors>
    <author>VISTA$</author>
  </authors>
  <commentList>
    <comment ref="A6" authorId="0" shapeId="0">
      <text>
        <r>
          <rPr>
            <b/>
            <sz val="8"/>
            <rFont val="Arial"/>
            <family val="2"/>
          </rPr>
          <t>The length of each time period in model time,
expressed in years</t>
        </r>
      </text>
    </comment>
    <comment ref="A9" authorId="0" shapeId="0">
      <text>
        <r>
          <rPr>
            <b/>
            <sz val="8"/>
            <rFont val="Arial"/>
            <family val="2"/>
          </rPr>
          <t>The long-term interest rate per period on debt
(variable Interest_Rate_Long)</t>
        </r>
      </text>
    </comment>
    <comment ref="A12" authorId="0" shapeId="0">
      <text>
        <r>
          <rPr>
            <b/>
            <sz val="8"/>
            <rFont val="Arial"/>
            <family val="2"/>
          </rPr>
          <t>Time in years from the beginning of Model Time</t>
        </r>
      </text>
    </comment>
  </commentList>
</comments>
</file>

<file path=xl/comments2.xml><?xml version="1.0" encoding="utf-8"?>
<comments xmlns="http://schemas.openxmlformats.org/spreadsheetml/2006/main">
  <authors>
    <author>VISTA$</author>
  </authors>
  <commentList>
    <comment ref="A7" authorId="0" shapeId="0">
      <text>
        <r>
          <rPr>
            <b/>
            <sz val="8"/>
            <rFont val="Arial"/>
            <family val="2"/>
          </rPr>
          <t>The aggregate demand for goods and services in the
economy, in each time period
(variable Demand_Aggregate)</t>
        </r>
      </text>
    </comment>
    <comment ref="A9" authorId="0" shapeId="0">
      <text>
        <r>
          <rPr>
            <b/>
            <sz val="8"/>
            <rFont val="Arial"/>
            <family val="2"/>
          </rPr>
          <t>A random shock to the aggregate demand of the
economy, in each time period
(variable Shock_Aggregate_Demand)</t>
        </r>
      </text>
    </comment>
    <comment ref="A11" authorId="0" shapeId="0">
      <text>
        <r>
          <rPr>
            <b/>
            <sz val="8"/>
            <rFont val="Arial"/>
            <family val="2"/>
          </rPr>
          <t>The long-term expected demand for goods and
services per time period, in each time period (in
millions)
(variable Demand_Expected_Long)</t>
        </r>
      </text>
    </comment>
    <comment ref="A13" authorId="0" shapeId="0">
      <text>
        <r>
          <rPr>
            <b/>
            <sz val="8"/>
            <rFont val="Arial"/>
            <family val="2"/>
          </rPr>
          <t>Short-term expected demand for goods and services
per time period, in each time period (in millions)
(variable Demand_Expected_Short)</t>
        </r>
      </text>
    </comment>
    <comment ref="A15" authorId="0" shapeId="0">
      <text>
        <r>
          <rPr>
            <b/>
            <sz val="8"/>
            <rFont val="Arial"/>
            <family val="2"/>
          </rPr>
          <t>Consumption spending, in each time period (in
millions)</t>
        </r>
      </text>
    </comment>
    <comment ref="A17" authorId="0" shapeId="0">
      <text>
        <r>
          <rPr>
            <b/>
            <sz val="8"/>
            <rFont val="Arial"/>
            <family val="2"/>
          </rPr>
          <t>Total government spending, in each time period (in
millions)
(variable Gov_Spending)</t>
        </r>
      </text>
    </comment>
    <comment ref="A19" authorId="0" shapeId="0">
      <text>
        <r>
          <rPr>
            <b/>
            <sz val="8"/>
            <rFont val="Arial"/>
            <family val="2"/>
          </rPr>
          <t>Total government transfer payments, in each time
period (in millions)
(variable Gov_Transfers)</t>
        </r>
      </text>
    </comment>
    <comment ref="A21" authorId="0" shapeId="0">
      <text>
        <r>
          <rPr>
            <b/>
            <sz val="8"/>
            <rFont val="Arial"/>
            <family val="2"/>
          </rPr>
          <t>The characteristic time needed for long-term
expected demand to adjust to changes in aggregate
demand, expressed in years
(variable Time_Smooth_Long_Demand)</t>
        </r>
      </text>
    </comment>
    <comment ref="A22" authorId="0" shapeId="0">
      <text>
        <r>
          <rPr>
            <b/>
            <sz val="8"/>
            <rFont val="Arial"/>
            <family val="2"/>
          </rPr>
          <t>The characteristic time needed for short-term
expected demand to adjust to changes in aggregate
demand, expressed in years
(variable Time_Smooth_Short_Demand)</t>
        </r>
      </text>
    </comment>
  </commentList>
</comments>
</file>

<file path=xl/comments3.xml><?xml version="1.0" encoding="utf-8"?>
<comments xmlns="http://schemas.openxmlformats.org/spreadsheetml/2006/main">
  <authors>
    <author>VISTA$</author>
  </authors>
  <commentList>
    <comment ref="A7" authorId="0" shapeId="0">
      <text>
        <r>
          <rPr>
            <b/>
            <sz val="8"/>
            <rFont val="Arial"/>
            <family val="2"/>
          </rPr>
          <t>The capital stock, in each time period (expressed
in millions). The net capital investment in the
previous time period determines the change in
capital in each time period, to avoid circularity</t>
        </r>
      </text>
    </comment>
    <comment ref="A9" authorId="0" shapeId="0">
      <text>
        <r>
          <rPr>
            <b/>
            <sz val="8"/>
            <rFont val="Arial"/>
            <family val="2"/>
          </rPr>
          <t>The capital depreciation expense in each time
period (in millions)
(variable Capital_Depreciation)</t>
        </r>
      </text>
    </comment>
    <comment ref="A11" authorId="0" shapeId="0">
      <text>
        <r>
          <rPr>
            <b/>
            <sz val="8"/>
            <rFont val="Arial"/>
            <family val="2"/>
          </rPr>
          <t>Capital investmnent in each time period (in
millions)
(variable Capital_Investment)</t>
        </r>
      </text>
    </comment>
    <comment ref="A13" authorId="0" shapeId="0">
      <text>
        <r>
          <rPr>
            <b/>
            <sz val="8"/>
            <rFont val="Arial"/>
            <family val="2"/>
          </rPr>
          <t>The desired capital stock in each time period (in
millions)
(variable Capital_Desired)</t>
        </r>
      </text>
    </comment>
    <comment ref="A15" authorId="0" shapeId="0">
      <text>
        <r>
          <rPr>
            <b/>
            <sz val="8"/>
            <rFont val="Arial"/>
            <family val="2"/>
          </rPr>
          <t>This is a numerical input parameter of the model.
(variable Capital_Equilib)</t>
        </r>
      </text>
    </comment>
    <comment ref="A16" authorId="0" shapeId="0">
      <text>
        <r>
          <rPr>
            <b/>
            <sz val="8"/>
            <rFont val="Arial"/>
            <family val="2"/>
          </rPr>
          <t>The average lifetime of capital stock expressed in
years, in each time period
(variable Capital_Avg_Life)</t>
        </r>
      </text>
    </comment>
    <comment ref="A17" authorId="0" shapeId="0">
      <text>
        <r>
          <rPr>
            <b/>
            <sz val="8"/>
            <rFont val="Arial"/>
            <family val="2"/>
          </rPr>
          <t>The capital productivity exponent used in the
production function
(variable Capital_Expon)</t>
        </r>
      </text>
    </comment>
    <comment ref="A18" authorId="0" shapeId="0">
      <text>
        <r>
          <rPr>
            <b/>
            <sz val="8"/>
            <rFont val="Arial"/>
            <family val="2"/>
          </rPr>
          <t>Flexibility of capacity unitlization. Measures how
well the capital stock responds to short-term
changes in demand.
(variable Flexibility_Capacity_Utilization)</t>
        </r>
      </text>
    </comment>
    <comment ref="A19" authorId="0" shapeId="0">
      <text>
        <r>
          <rPr>
            <b/>
            <sz val="8"/>
            <rFont val="Arial"/>
            <family val="2"/>
          </rPr>
          <t>The characteristic time needed for the stock of
capital to adjust to changes in demand, expressed
in years
(variable Time_Adjust_Capital)</t>
        </r>
      </text>
    </comment>
  </commentList>
</comments>
</file>

<file path=xl/comments4.xml><?xml version="1.0" encoding="utf-8"?>
<comments xmlns="http://schemas.openxmlformats.org/spreadsheetml/2006/main">
  <authors>
    <author>VISTA$</author>
  </authors>
  <commentList>
    <comment ref="A7" authorId="0" shapeId="0">
      <text>
        <r>
          <rPr>
            <b/>
            <sz val="8"/>
            <rFont val="Arial"/>
            <family val="2"/>
          </rPr>
          <t>The level of employment in each time period
(expressed in millions of full-time-equivalent
man-periods)</t>
        </r>
      </text>
    </comment>
    <comment ref="A9" authorId="0" shapeId="0">
      <text>
        <r>
          <rPr>
            <b/>
            <sz val="8"/>
            <rFont val="Arial"/>
            <family val="2"/>
          </rPr>
          <t>The desired level of employment in each time
period (expressed in millions of
full-time-equivalent man-periods)
(variable Employment_Desired)</t>
        </r>
      </text>
    </comment>
    <comment ref="A11" authorId="0" shapeId="0">
      <text>
        <r>
          <rPr>
            <b/>
            <sz val="8"/>
            <rFont val="Arial"/>
            <family val="2"/>
          </rPr>
          <t>The equilibrium level of employment (in millions
of full-time-equivalent man-periods)
(variable Employment_Equilib)</t>
        </r>
      </text>
    </comment>
    <comment ref="A12" authorId="0" shapeId="0">
      <text>
        <r>
          <rPr>
            <b/>
            <sz val="8"/>
            <rFont val="Arial"/>
            <family val="2"/>
          </rPr>
          <t>The real wage per time period when the economy is
in equilibrium (expressed in $ millions per
million full time equivalent man-periods)
(variable Real_Wage_Equilib)</t>
        </r>
      </text>
    </comment>
    <comment ref="A13" authorId="0" shapeId="0">
      <text>
        <r>
          <rPr>
            <b/>
            <sz val="8"/>
            <rFont val="Arial"/>
            <family val="2"/>
          </rPr>
          <t>The ratio (equilibrium real wage) / (national
income). This is a numerical input parameter of
the model.
(variable Real_Wage_Equilib_pct)</t>
        </r>
      </text>
    </comment>
    <comment ref="A14" authorId="0" shapeId="0">
      <text>
        <r>
          <rPr>
            <b/>
            <sz val="8"/>
            <rFont val="Arial"/>
            <family val="2"/>
          </rPr>
          <t>The characteristic time needed for the level of
employment to respond to changes in demand,
expressed in years
(variable Time_Adjust_Employment)</t>
        </r>
      </text>
    </comment>
  </commentList>
</comments>
</file>

<file path=xl/comments5.xml><?xml version="1.0" encoding="utf-8"?>
<comments xmlns="http://schemas.openxmlformats.org/spreadsheetml/2006/main">
  <authors>
    <author>VISTA$</author>
  </authors>
  <commentList>
    <comment ref="A7" authorId="0" shapeId="0">
      <text>
        <r>
          <rPr>
            <b/>
            <sz val="8"/>
            <rFont val="Arial"/>
            <family val="2"/>
          </rPr>
          <t>Consumption spending, in each time period (in
millions)</t>
        </r>
      </text>
    </comment>
    <comment ref="A9" authorId="0" shapeId="0">
      <text>
        <r>
          <rPr>
            <b/>
            <sz val="8"/>
            <rFont val="Arial"/>
            <family val="2"/>
          </rPr>
          <t>Current disposable income, in each time period (in
millions)
(variable Income_Current_Disposable)</t>
        </r>
      </text>
    </comment>
    <comment ref="A11" authorId="0" shapeId="0">
      <text>
        <r>
          <rPr>
            <b/>
            <sz val="8"/>
            <rFont val="Arial"/>
            <family val="2"/>
          </rPr>
          <t>The amount of goods and services sold in the
economy, in each time period (in millions)
(variable Final_Sales)</t>
        </r>
      </text>
    </comment>
    <comment ref="A13" authorId="0" shapeId="0">
      <text>
        <r>
          <rPr>
            <b/>
            <sz val="8"/>
            <rFont val="Arial"/>
            <family val="2"/>
          </rPr>
          <t>Consumers' expectation of their permanent income
per time period, in each time period (in $
millions). This variable enters into consumers'
decisions about how much of their income to spend.
(variable Income_Permanent)</t>
        </r>
      </text>
    </comment>
    <comment ref="A15" authorId="0" shapeId="0">
      <text>
        <r>
          <rPr>
            <b/>
            <sz val="8"/>
            <rFont val="Arial"/>
            <family val="2"/>
          </rPr>
          <t>Total government spending, in each time period (in
millions)
(variable Gov_Spending)</t>
        </r>
      </text>
    </comment>
    <comment ref="A17" authorId="0" shapeId="0">
      <text>
        <r>
          <rPr>
            <b/>
            <sz val="8"/>
            <rFont val="Arial"/>
            <family val="2"/>
          </rPr>
          <t>Total government transfer payments, in each time
period (in millions)
(variable Gov_Transfers)</t>
        </r>
      </text>
    </comment>
    <comment ref="A19" authorId="0" shapeId="0">
      <text>
        <r>
          <rPr>
            <b/>
            <sz val="8"/>
            <rFont val="Arial"/>
            <family val="2"/>
          </rPr>
          <t>The propensity to consume, expressed as a percent
of output, in each time period
(variable Consumption_Avg_Propensity)</t>
        </r>
      </text>
    </comment>
    <comment ref="A20" authorId="0" shapeId="0">
      <text>
        <r>
          <rPr>
            <b/>
            <sz val="8"/>
            <rFont val="Arial"/>
            <family val="2"/>
          </rPr>
          <t>The characteristic time needed for consumers to
adjust their expectation of permanent income as
their incomes change, expressed in years
(variable Time_Smooth_Income)</t>
        </r>
      </text>
    </comment>
  </commentList>
</comments>
</file>

<file path=xl/comments6.xml><?xml version="1.0" encoding="utf-8"?>
<comments xmlns="http://schemas.openxmlformats.org/spreadsheetml/2006/main">
  <authors>
    <author>VISTA$</author>
  </authors>
  <commentList>
    <comment ref="A7" authorId="0" shapeId="0">
      <text>
        <r>
          <rPr>
            <b/>
            <sz val="8"/>
            <rFont val="Arial"/>
            <family val="2"/>
          </rPr>
          <t>The total output per time period, in each time
period (in millions)</t>
        </r>
      </text>
    </comment>
    <comment ref="A9" authorId="0" shapeId="0">
      <text>
        <r>
          <rPr>
            <b/>
            <sz val="8"/>
            <rFont val="Arial"/>
            <family val="2"/>
          </rPr>
          <t>Potential output per time period given capital and
labor inputs, in each time period (in millions).
Output generally is lower than this level because
capital is not flexible enough to be fully
redeployed in response to fluctuations of demand.
This production function assumes that the economy
has no scale effect; that is, doubling inputs to
the economy doubles output.
(variable Output_Potential)</t>
        </r>
      </text>
    </comment>
    <comment ref="A11" authorId="0" shapeId="0">
      <text>
        <r>
          <rPr>
            <b/>
            <sz val="8"/>
            <rFont val="Arial"/>
            <family val="2"/>
          </rPr>
          <t>A random shock to the output of the economy, in
each time period
(variable Shock_Output)</t>
        </r>
      </text>
    </comment>
    <comment ref="A13" authorId="0" shapeId="0">
      <text>
        <r>
          <rPr>
            <b/>
            <sz val="8"/>
            <rFont val="Arial"/>
            <family val="2"/>
          </rPr>
          <t>Equilibrium output per time period (in millions)
(variable Output_Equilib)</t>
        </r>
      </text>
    </comment>
    <comment ref="A14" authorId="0" shapeId="0">
      <text>
        <r>
          <rPr>
            <b/>
            <sz val="8"/>
            <rFont val="Arial"/>
            <family val="2"/>
          </rPr>
          <t>Flexibility of capacity unitlization. Measures how
well the capital stock responds to short-term
changes in demand.
(variable Flexibility_Capacity_Utilization)</t>
        </r>
      </text>
    </comment>
  </commentList>
</comments>
</file>

<file path=xl/comments7.xml><?xml version="1.0" encoding="utf-8"?>
<comments xmlns="http://schemas.openxmlformats.org/spreadsheetml/2006/main">
  <authors>
    <author>VISTA$</author>
  </authors>
  <commentList>
    <comment ref="A7" authorId="0" shapeId="0">
      <text>
        <r>
          <rPr>
            <b/>
            <sz val="8"/>
            <rFont val="Arial"/>
            <family val="2"/>
          </rPr>
          <t>Total government spending, in each time period (in
millions)
(variable Gov_Spending)</t>
        </r>
      </text>
    </comment>
    <comment ref="A9" authorId="0" shapeId="0">
      <text>
        <r>
          <rPr>
            <b/>
            <sz val="8"/>
            <rFont val="Arial"/>
            <family val="2"/>
          </rPr>
          <t>Total government transfer payments, in each time
period (in millions)
(variable Gov_Transfers)</t>
        </r>
      </text>
    </comment>
    <comment ref="A11" authorId="0" shapeId="0">
      <text>
        <r>
          <rPr>
            <b/>
            <sz val="8"/>
            <rFont val="Arial"/>
            <family val="2"/>
          </rPr>
          <t>Total taxes in the economy (in $ millions), in
each time period</t>
        </r>
      </text>
    </comment>
    <comment ref="A13" authorId="0" shapeId="0">
      <text>
        <r>
          <rPr>
            <b/>
            <sz val="8"/>
            <rFont val="Arial"/>
            <family val="2"/>
          </rPr>
          <t>Government spending when the economy is in
equilibrium
(variable Gov_Spend_Equilib)</t>
        </r>
      </text>
    </comment>
    <comment ref="D13" authorId="0" shapeId="0">
      <text>
        <r>
          <rPr>
            <b/>
            <sz val="8"/>
            <rFont val="Arial"/>
            <family val="2"/>
          </rPr>
          <t>The average rate of taxation of all kinds
including local, state and federal. This is a
numerical input parameter of the model.
(variable Tax_Rate)</t>
        </r>
      </text>
    </comment>
    <comment ref="A14" authorId="0" shapeId="0">
      <text>
        <r>
          <rPr>
            <b/>
            <sz val="8"/>
            <rFont val="Arial"/>
            <family val="2"/>
          </rPr>
          <t>The ratio (equilibrium government spending) /
(equilibrium output). This is a numerical input to
the model.
(variable Gov_Spend_Equilib_pct)</t>
        </r>
      </text>
    </comment>
    <comment ref="A16" authorId="0" shapeId="0">
      <text>
        <r>
          <rPr>
            <b/>
            <sz val="8"/>
            <rFont val="Arial"/>
            <family val="2"/>
          </rPr>
          <t>The equilibrium level of government transfer
payments in each time period, given current
policies (in millions)
(variable Gov_Transfers_Equilib)</t>
        </r>
      </text>
    </comment>
    <comment ref="A17" authorId="0" shapeId="0">
      <text>
        <r>
          <rPr>
            <b/>
            <sz val="8"/>
            <rFont val="Arial"/>
            <family val="2"/>
          </rPr>
          <t>The ratio (equilibrium government transfer
payments) / (equilibrium output). This is a
numerical input to the model.
(variable Gov_Transfers_Equilib_pct)</t>
        </r>
      </text>
    </comment>
  </commentList>
</comments>
</file>

<file path=xl/comments8.xml><?xml version="1.0" encoding="utf-8"?>
<comments xmlns="http://schemas.openxmlformats.org/spreadsheetml/2006/main">
  <authors>
    <author>VISTA$</author>
  </authors>
  <commentList>
    <comment ref="A7" authorId="0" shapeId="0">
      <text>
        <r>
          <rPr>
            <b/>
            <sz val="8"/>
            <rFont val="Arial"/>
            <family val="2"/>
          </rPr>
          <t>A random shock to the aggregate demand of the
economy, in each time period
(variable Shock_Aggregate_Demand)</t>
        </r>
      </text>
    </comment>
    <comment ref="A9" authorId="0" shapeId="0">
      <text>
        <r>
          <rPr>
            <b/>
            <sz val="8"/>
            <rFont val="Arial"/>
            <family val="2"/>
          </rPr>
          <t>A random shock to the output of the economy, in
each time period
(variable Shock_Output)</t>
        </r>
      </text>
    </comment>
    <comment ref="A11" authorId="0" shapeId="0">
      <text>
        <r>
          <rPr>
            <b/>
            <sz val="8"/>
            <rFont val="Arial"/>
            <family val="2"/>
          </rPr>
          <t>The standard deviation of all the random shock
terms in the model. The std dev changes as the
sqrt of the time period because it is a
"Gauss-Wiener process", which generalizes a
Gaussian random walk to time steps of all sizes.</t>
        </r>
      </text>
    </comment>
    <comment ref="A12" authorId="0" shapeId="0">
      <text>
        <r>
          <rPr>
            <b/>
            <sz val="8"/>
            <rFont val="Arial"/>
            <family val="2"/>
          </rPr>
          <t>The ratio (std dev of random shock) / (national
income). This parameter does not depend on time
because the model is based on an equilibrium
economy with random shocks. This is a numerical
input parameter of the model.
(variable Shock_Std_Dev_pct)</t>
        </r>
      </text>
    </comment>
  </commentList>
</comments>
</file>

<file path=xl/comments9.xml><?xml version="1.0" encoding="utf-8"?>
<comments xmlns="http://schemas.openxmlformats.org/spreadsheetml/2006/main">
  <authors>
    <author>VISTA$</author>
  </authors>
  <commentList>
    <comment ref="B7" authorId="0" shapeId="0">
      <text>
        <r>
          <rPr>
            <b/>
            <sz val="8"/>
            <rFont val="Arial"/>
            <family val="2"/>
          </rPr>
          <t>The capital stock, in each time period (expressed
in millions). The net capital investment in the
previous time period determines the change in
capital in each time period, to avoid circularity</t>
        </r>
      </text>
    </comment>
    <comment ref="B9" authorId="0" shapeId="0">
      <text>
        <r>
          <rPr>
            <b/>
            <sz val="8"/>
            <rFont val="Arial"/>
            <family val="2"/>
          </rPr>
          <t>The average lifetime of capital stock expressed in
years, in each time period
(variable Capital_Avg_Life)</t>
        </r>
      </text>
    </comment>
    <comment ref="B11" authorId="0" shapeId="0">
      <text>
        <r>
          <rPr>
            <b/>
            <sz val="8"/>
            <rFont val="Arial"/>
            <family val="2"/>
          </rPr>
          <t>The capital depreciation expense in each time
period (in millions)
(variable Capital_Depreciation)</t>
        </r>
      </text>
    </comment>
    <comment ref="B13" authorId="0" shapeId="0">
      <text>
        <r>
          <rPr>
            <b/>
            <sz val="8"/>
            <rFont val="Arial"/>
            <family val="2"/>
          </rPr>
          <t>The desired capital stock in each time period (in
millions)
(variable Capital_Desired)</t>
        </r>
      </text>
    </comment>
    <comment ref="B15" authorId="0" shapeId="0">
      <text>
        <r>
          <rPr>
            <b/>
            <sz val="8"/>
            <rFont val="Arial"/>
            <family val="2"/>
          </rPr>
          <t>This is a numerical input parameter of the model.
(variable Capital_Equilib)</t>
        </r>
      </text>
    </comment>
    <comment ref="B17" authorId="0" shapeId="0">
      <text>
        <r>
          <rPr>
            <b/>
            <sz val="8"/>
            <rFont val="Arial"/>
            <family val="2"/>
          </rPr>
          <t>The capital productivity exponent used in the
production function
(variable Capital_Expon)</t>
        </r>
      </text>
    </comment>
    <comment ref="B19" authorId="0" shapeId="0">
      <text>
        <r>
          <rPr>
            <b/>
            <sz val="8"/>
            <rFont val="Arial"/>
            <family val="2"/>
          </rPr>
          <t>Capital investmnent in each time period (in
millions)
(variable Capital_Investment)</t>
        </r>
      </text>
    </comment>
    <comment ref="B21" authorId="0" shapeId="0">
      <text>
        <r>
          <rPr>
            <b/>
            <sz val="8"/>
            <rFont val="Arial"/>
            <family val="2"/>
          </rPr>
          <t>Consumption spending, in each time period (in
millions)</t>
        </r>
      </text>
    </comment>
    <comment ref="B23" authorId="0" shapeId="0">
      <text>
        <r>
          <rPr>
            <b/>
            <sz val="8"/>
            <rFont val="Arial"/>
            <family val="2"/>
          </rPr>
          <t>The propensity to consume, expressed as a percent
of output, in each time period
(variable Consumption_Avg_Propensity)</t>
        </r>
      </text>
    </comment>
    <comment ref="B25" authorId="0" shapeId="0">
      <text>
        <r>
          <rPr>
            <b/>
            <sz val="8"/>
            <rFont val="Arial"/>
            <family val="2"/>
          </rPr>
          <t>The aggregate demand for goods and services in the
economy, in each time period
(variable Demand_Aggregate)</t>
        </r>
      </text>
    </comment>
    <comment ref="B27" authorId="0" shapeId="0">
      <text>
        <r>
          <rPr>
            <b/>
            <sz val="8"/>
            <rFont val="Arial"/>
            <family val="2"/>
          </rPr>
          <t>The long-term expected demand for goods and
services per time period, in each time period (in
millions)
(variable Demand_Expected_Long)</t>
        </r>
      </text>
    </comment>
    <comment ref="B29" authorId="0" shapeId="0">
      <text>
        <r>
          <rPr>
            <b/>
            <sz val="8"/>
            <rFont val="Arial"/>
            <family val="2"/>
          </rPr>
          <t>Short-term expected demand for goods and services
per time period, in each time period (in millions)
(variable Demand_Expected_Short)</t>
        </r>
      </text>
    </comment>
    <comment ref="B31" authorId="0" shapeId="0">
      <text>
        <r>
          <rPr>
            <b/>
            <sz val="8"/>
            <rFont val="Arial"/>
            <family val="2"/>
          </rPr>
          <t>The length of each time period in model time,
expressed in years</t>
        </r>
      </text>
    </comment>
    <comment ref="B33" authorId="0" shapeId="0">
      <text>
        <r>
          <rPr>
            <b/>
            <sz val="8"/>
            <rFont val="Arial"/>
            <family val="2"/>
          </rPr>
          <t>The level of employment in each time period
(expressed in millions of full-time-equivalent
man-periods)</t>
        </r>
      </text>
    </comment>
    <comment ref="B35" authorId="0" shapeId="0">
      <text>
        <r>
          <rPr>
            <b/>
            <sz val="8"/>
            <rFont val="Arial"/>
            <family val="2"/>
          </rPr>
          <t>The desired level of employment in each time
period (expressed in millions of
full-time-equivalent man-periods)
(variable Employment_Desired)</t>
        </r>
      </text>
    </comment>
    <comment ref="B37" authorId="0" shapeId="0">
      <text>
        <r>
          <rPr>
            <b/>
            <sz val="8"/>
            <rFont val="Arial"/>
            <family val="2"/>
          </rPr>
          <t>The equilibrium level of employment (in millions
of full-time-equivalent man-periods)
(variable Employment_Equilib)</t>
        </r>
      </text>
    </comment>
    <comment ref="B39" authorId="0" shapeId="0">
      <text>
        <r>
          <rPr>
            <b/>
            <sz val="8"/>
            <rFont val="Arial"/>
            <family val="2"/>
          </rPr>
          <t>The amount of goods and services sold in the
economy, in each time period (in millions)
(variable Final_Sales)</t>
        </r>
      </text>
    </comment>
    <comment ref="B41" authorId="0" shapeId="0">
      <text>
        <r>
          <rPr>
            <b/>
            <sz val="8"/>
            <rFont val="Arial"/>
            <family val="2"/>
          </rPr>
          <t>Flexibility of capacity unitlization. Measures how
well the capital stock responds to short-term
changes in demand.
(variable Flexibility_Capacity_Utilization)</t>
        </r>
      </text>
    </comment>
    <comment ref="B43" authorId="0" shapeId="0">
      <text>
        <r>
          <rPr>
            <b/>
            <sz val="8"/>
            <rFont val="Arial"/>
            <family val="2"/>
          </rPr>
          <t>Government spending when the economy is in
equilibrium
(variable Gov_Spend_Equilib)</t>
        </r>
      </text>
    </comment>
    <comment ref="B45" authorId="0" shapeId="0">
      <text>
        <r>
          <rPr>
            <b/>
            <sz val="8"/>
            <rFont val="Arial"/>
            <family val="2"/>
          </rPr>
          <t>The ratio (equilibrium government spending) /
(equilibrium output). This is a numerical input to
the model.
(variable Gov_Spend_Equilib_pct)</t>
        </r>
      </text>
    </comment>
    <comment ref="B47" authorId="0" shapeId="0">
      <text>
        <r>
          <rPr>
            <b/>
            <sz val="8"/>
            <rFont val="Arial"/>
            <family val="2"/>
          </rPr>
          <t>Total government spending, in each time period (in
millions)
(variable Gov_Spending)</t>
        </r>
      </text>
    </comment>
    <comment ref="B49" authorId="0" shapeId="0">
      <text>
        <r>
          <rPr>
            <b/>
            <sz val="8"/>
            <rFont val="Arial"/>
            <family val="2"/>
          </rPr>
          <t>Total government transfer payments, in each time
period (in millions)
(variable Gov_Transfers)</t>
        </r>
      </text>
    </comment>
    <comment ref="B51" authorId="0" shapeId="0">
      <text>
        <r>
          <rPr>
            <b/>
            <sz val="8"/>
            <rFont val="Arial"/>
            <family val="2"/>
          </rPr>
          <t>The equilibrium level of government transfer
payments in each time period, given current
policies (in millions)
(variable Gov_Transfers_Equilib)</t>
        </r>
      </text>
    </comment>
    <comment ref="B53" authorId="0" shapeId="0">
      <text>
        <r>
          <rPr>
            <b/>
            <sz val="8"/>
            <rFont val="Arial"/>
            <family val="2"/>
          </rPr>
          <t>The ratio (equilibrium government transfer
payments) / (equilibrium output). This is a
numerical input to the model.
(variable Gov_Transfers_Equilib_pct)</t>
        </r>
      </text>
    </comment>
    <comment ref="B55" authorId="0" shapeId="0">
      <text>
        <r>
          <rPr>
            <b/>
            <sz val="8"/>
            <rFont val="Arial"/>
            <family val="2"/>
          </rPr>
          <t>Current disposable income, in each time period (in
millions)
(variable Income_Current_Disposable)</t>
        </r>
      </text>
    </comment>
    <comment ref="B57" authorId="0" shapeId="0">
      <text>
        <r>
          <rPr>
            <b/>
            <sz val="8"/>
            <rFont val="Arial"/>
            <family val="2"/>
          </rPr>
          <t>Consumers' expectation of their permanent income
per time period, in each time period (in $
millions). This variable enters into consumers'
decisions about how much of their income to spend.
(variable Income_Permanent)</t>
        </r>
      </text>
    </comment>
    <comment ref="B59" authorId="0" shapeId="0">
      <text>
        <r>
          <rPr>
            <b/>
            <sz val="8"/>
            <rFont val="Arial"/>
            <family val="2"/>
          </rPr>
          <t>The long-term interest rate per period on debt
(variable Interest_Rate_Long)</t>
        </r>
      </text>
    </comment>
    <comment ref="B61" authorId="0" shapeId="0">
      <text>
        <r>
          <rPr>
            <b/>
            <sz val="8"/>
            <rFont val="Arial"/>
            <family val="2"/>
          </rPr>
          <t>The long-term annual interest rate on debt. This
is a numerical input parameter of the model.
(variable Interest_Rate_Long_Yr)</t>
        </r>
      </text>
    </comment>
    <comment ref="B63" authorId="0" shapeId="0">
      <text>
        <r>
          <rPr>
            <b/>
            <sz val="8"/>
            <rFont val="Arial"/>
            <family val="2"/>
          </rPr>
          <t>Name by which this model is known, as it appears
at the top of each worksheet
(variable Model_Name)</t>
        </r>
      </text>
    </comment>
    <comment ref="B65" authorId="0" shapeId="0">
      <text>
        <r>
          <rPr>
            <b/>
            <sz val="8"/>
            <rFont val="Arial"/>
            <family val="2"/>
          </rPr>
          <t>The total output per time period, in each time
period (in millions)</t>
        </r>
      </text>
    </comment>
    <comment ref="B67" authorId="0" shapeId="0">
      <text>
        <r>
          <rPr>
            <b/>
            <sz val="8"/>
            <rFont val="Arial"/>
            <family val="2"/>
          </rPr>
          <t>Equilibrium output per time period (in millions)
(variable Output_Equilib)</t>
        </r>
      </text>
    </comment>
    <comment ref="B69" authorId="0" shapeId="0">
      <text>
        <r>
          <rPr>
            <b/>
            <sz val="8"/>
            <rFont val="Arial"/>
            <family val="2"/>
          </rPr>
          <t>Equilibrium annual output (in millions)
(variable Output_Equilib_Yr)</t>
        </r>
      </text>
    </comment>
    <comment ref="B71" authorId="0" shapeId="0">
      <text>
        <r>
          <rPr>
            <b/>
            <sz val="8"/>
            <rFont val="Arial"/>
            <family val="2"/>
          </rPr>
          <t>Potential output per time period given capital and
labor inputs, in each time period (in millions).
Output generally is lower than this level because
capital is not flexible enough to be fully
redeployed in response to fluctuations of demand.
This production function assumes that the economy
has no scale effect; that is, doubling inputs to
the economy doubles output.
(variable Output_Potential)</t>
        </r>
      </text>
    </comment>
    <comment ref="B73" authorId="0" shapeId="0">
      <text>
        <r>
          <rPr>
            <b/>
            <sz val="8"/>
            <rFont val="Arial"/>
            <family val="2"/>
          </rPr>
          <t>The real wage per time period when the economy is
in equilibrium (expressed in $ millions per
million full time equivalent man-periods)
(variable Real_Wage_Equilib)</t>
        </r>
      </text>
    </comment>
    <comment ref="B75" authorId="0" shapeId="0">
      <text>
        <r>
          <rPr>
            <b/>
            <sz val="8"/>
            <rFont val="Arial"/>
            <family val="2"/>
          </rPr>
          <t>The ratio (equilibrium real wage) / (national
income). This is a numerical input parameter of
the model.
(variable Real_Wage_Equilib_pct)</t>
        </r>
      </text>
    </comment>
    <comment ref="B77" authorId="0" shapeId="0">
      <text>
        <r>
          <rPr>
            <b/>
            <sz val="8"/>
            <rFont val="Arial"/>
            <family val="2"/>
          </rPr>
          <t>A random shock to the aggregate demand of the
economy, in each time period
(variable Shock_Aggregate_Demand)</t>
        </r>
      </text>
    </comment>
    <comment ref="B79" authorId="0" shapeId="0">
      <text>
        <r>
          <rPr>
            <b/>
            <sz val="8"/>
            <rFont val="Arial"/>
            <family val="2"/>
          </rPr>
          <t>The limit in outliers for random shocks, expressed
in terms of the cumulative tail probability below
which shocks are not allowed.</t>
        </r>
      </text>
    </comment>
    <comment ref="B81" authorId="0" shapeId="0">
      <text>
        <r>
          <rPr>
            <b/>
            <sz val="8"/>
            <rFont val="Arial"/>
            <family val="2"/>
          </rPr>
          <t>A random shock to the output of the economy, in
each time period
(variable Shock_Output)</t>
        </r>
      </text>
    </comment>
    <comment ref="B83" authorId="0" shapeId="0">
      <text>
        <r>
          <rPr>
            <b/>
            <sz val="8"/>
            <rFont val="Arial"/>
            <family val="2"/>
          </rPr>
          <t>The standard deviation of all the random shock
terms in the model. The std dev changes as the
sqrt of the time period because it is a
"Gauss-Wiener process", which generalizes a
Gaussian random walk to time steps of all sizes.</t>
        </r>
      </text>
    </comment>
    <comment ref="B85" authorId="0" shapeId="0">
      <text>
        <r>
          <rPr>
            <b/>
            <sz val="8"/>
            <rFont val="Arial"/>
            <family val="2"/>
          </rPr>
          <t>The ratio (std dev of random shock) / (national
income). This parameter does not depend on time
because the model is based on an equilibrium
economy with random shocks. This is a numerical
input parameter of the model.
(variable Shock_Std_Dev_pct)</t>
        </r>
      </text>
    </comment>
    <comment ref="B87" authorId="0" shapeId="0">
      <text>
        <r>
          <rPr>
            <b/>
            <sz val="8"/>
            <rFont val="Arial"/>
            <family val="2"/>
          </rPr>
          <t>Total taxes in the economy (in $ millions), in
each time period</t>
        </r>
      </text>
    </comment>
    <comment ref="B89" authorId="0" shapeId="0">
      <text>
        <r>
          <rPr>
            <b/>
            <sz val="8"/>
            <rFont val="Arial"/>
            <family val="2"/>
          </rPr>
          <t>The average rate of taxation of all kinds
including local, state and federal. This is a
numerical input parameter of the model.
(variable Tax_Rate)</t>
        </r>
      </text>
    </comment>
    <comment ref="B91" authorId="0" shapeId="0">
      <text>
        <r>
          <rPr>
            <b/>
            <sz val="8"/>
            <rFont val="Arial"/>
            <family val="2"/>
          </rPr>
          <t>Time in years from the beginning of Model Time</t>
        </r>
      </text>
    </comment>
    <comment ref="B93" authorId="0" shapeId="0">
      <text>
        <r>
          <rPr>
            <b/>
            <sz val="8"/>
            <rFont val="Arial"/>
            <family val="2"/>
          </rPr>
          <t>The characteristic time needed for the stock of
capital to adjust to changes in demand, expressed
in years
(variable Time_Adjust_Capital)</t>
        </r>
      </text>
    </comment>
    <comment ref="B95" authorId="0" shapeId="0">
      <text>
        <r>
          <rPr>
            <b/>
            <sz val="8"/>
            <rFont val="Arial"/>
            <family val="2"/>
          </rPr>
          <t>The characteristic time needed for the level of
employment to respond to changes in demand,
expressed in years
(variable Time_Adjust_Employment)</t>
        </r>
      </text>
    </comment>
    <comment ref="B97" authorId="0" shapeId="0">
      <text>
        <r>
          <rPr>
            <b/>
            <sz val="8"/>
            <rFont val="Arial"/>
            <family val="2"/>
          </rPr>
          <t>The characteristic time needed for consumers to
adjust their expectation of permanent income as
their incomes change, expressed in years
(variable Time_Smooth_Income)</t>
        </r>
      </text>
    </comment>
    <comment ref="B99" authorId="0" shapeId="0">
      <text>
        <r>
          <rPr>
            <b/>
            <sz val="8"/>
            <rFont val="Arial"/>
            <family val="2"/>
          </rPr>
          <t>The characteristic time needed for long-term
expected demand to adjust to changes in aggregate
demand, expressed in years
(variable Time_Smooth_Long_Demand)</t>
        </r>
      </text>
    </comment>
    <comment ref="B101" authorId="0" shapeId="0">
      <text>
        <r>
          <rPr>
            <b/>
            <sz val="8"/>
            <rFont val="Arial"/>
            <family val="2"/>
          </rPr>
          <t>The characteristic time needed for short-term
expected demand to adjust to changes in aggregate
demand, expressed in years
(variable Time_Smooth_Short_Demand)</t>
        </r>
      </text>
    </comment>
  </commentList>
</comments>
</file>

<file path=xl/sharedStrings.xml><?xml version="1.0" encoding="utf-8"?>
<sst xmlns="http://schemas.openxmlformats.org/spreadsheetml/2006/main" count="626" uniqueCount="486">
  <si>
    <t>Time_Adjust_Capital[]|</t>
  </si>
  <si>
    <t>ZZZ_Ranges!Demand_Aggregate_Time_Period</t>
  </si>
  <si>
    <t>Equilib Gov Transfers</t>
  </si>
  <si>
    <t>:A:-1:Gov_Spending</t>
  </si>
  <si>
    <t>ZZZ_Ranges!Demand_Expected_Short</t>
  </si>
  <si>
    <t>Employment_Desired</t>
  </si>
  <si>
    <t>Output_Equilib</t>
  </si>
  <si>
    <t>The average lifetime of capital stock expressed in years, in each time period</t>
  </si>
  <si>
    <t>Tax</t>
  </si>
  <si>
    <t>Real_Wage_Equilib</t>
  </si>
  <si>
    <t>Output_Equilib*(Employment/Employment_Equilib)^(1-Capital_Expon)*(Capital/Capital_Equilib)^Capital_Expon</t>
  </si>
  <si>
    <t>Gov_Transfers_Equilib_pct[]|</t>
  </si>
  <si>
    <t>The desired level of employment in each time period (expressed in millions of full-time-equivalent man-periods)</t>
  </si>
  <si>
    <t>ZZZ_Ranges!Income_Current_Disposable_Date</t>
  </si>
  <si>
    <t>Model Name</t>
  </si>
  <si>
    <t>:A:0:Interest_Rate_Long</t>
  </si>
  <si>
    <t>Current disposable income, in each time period (in millions)</t>
  </si>
  <si>
    <t>Potential Output</t>
  </si>
  <si>
    <t>ZZZ_Ranges!Capital_Desired_Date</t>
  </si>
  <si>
    <t>Capital_Investment</t>
  </si>
  <si>
    <t>Comment</t>
  </si>
  <si>
    <t>Capital_Avg_Life</t>
  </si>
  <si>
    <t>The desired capital stock in each time period (in millions)</t>
  </si>
  <si>
    <t>The length of each time period in model time, expressed in years</t>
  </si>
  <si>
    <t>ZZZ_Ranges!Output_Time_Period</t>
  </si>
  <si>
    <t>Long Expected Demand</t>
  </si>
  <si>
    <t>:A:-1:Output_Equilib_Yr</t>
  </si>
  <si>
    <t>Equilibrium output per time period (in millions)</t>
  </si>
  <si>
    <t>The long-term interest rate per period on debt</t>
  </si>
  <si>
    <t>:A:0:Consumption_Avg_Propensity</t>
  </si>
  <si>
    <t>ZZZ_Ranges!Capital_Time_Period</t>
  </si>
  <si>
    <t>ZZZ_Ranges!Consumption_Time_Period</t>
  </si>
  <si>
    <t>Model_Name[]|</t>
  </si>
  <si>
    <t>:A:-1:Time_Adjust_Capital</t>
  </si>
  <si>
    <t>Shock_Std_Dev_pct*sqrt(dt)*Output_Equilib</t>
  </si>
  <si>
    <t>Long Annual Interest Rate</t>
  </si>
  <si>
    <t>:A:-1:Demand_Aggregate</t>
  </si>
  <si>
    <t>ZZZ_Ranges!Income_Current_Disposable_Time_Period</t>
  </si>
  <si>
    <t>Capital Depreciation</t>
  </si>
  <si>
    <t>Flexibility Capacity Utilization</t>
  </si>
  <si>
    <t>The capital depreciation expense in each time period (in millions)</t>
  </si>
  <si>
    <t>preve(Output_Equilib)+dt*preve(0, Demand_Aggregate-Demand_Expected_Short)/Time_Smooth_Short_Demand/periods_per("year")</t>
  </si>
  <si>
    <t>Output_Equilib_Yr/periods_per("year")</t>
  </si>
  <si>
    <t>ZZZ_Ranges!Output_Potential_Time_Period</t>
  </si>
  <si>
    <t>Tax_Rate*Output</t>
  </si>
  <si>
    <t>preve(Capital_Desired, Capital)/Capital_Avg_Life/periods_per("year")</t>
  </si>
  <si>
    <t>Gov Transfers</t>
  </si>
  <si>
    <t>Model_Name</t>
  </si>
  <si>
    <t>:A:0:Consumption</t>
  </si>
  <si>
    <t>Time_Smooth_Short_Demand[]|</t>
  </si>
  <si>
    <t>Employment</t>
  </si>
  <si>
    <t>Output_Potential*(1-Flexibility_Capacity_Utilization)+Demand_Expected_Short*Flexibility_Capacity_Utilization+Shock_Output</t>
  </si>
  <si>
    <t>Gov Spending</t>
  </si>
  <si>
    <t>ZZZ_Ranges!Capital_Desired_Time_Period</t>
  </si>
  <si>
    <t>Model Start</t>
  </si>
  <si>
    <t>A random shock to the aggregate demand of the economy, in each time period</t>
  </si>
  <si>
    <t>(1+Interest_Rate_Long_Yr)^(1/periods_per("year"))-1</t>
  </si>
  <si>
    <t>:A:0:Demand_Aggregate</t>
  </si>
  <si>
    <t>Total government spending, in each time period (in millions)</t>
  </si>
  <si>
    <t>:A:-1:Output_Equilib</t>
  </si>
  <si>
    <t>norminv(rand()*(1-2*Shock_Cutoff)+Shock_Cutoff, 0.0, Shock_Std_Dev)</t>
  </si>
  <si>
    <t>The real wage per time period when the economy is in equilibrium (expressed in $ millions per million full time equivalent man-periods)</t>
  </si>
  <si>
    <t>1/periods_per("year")</t>
  </si>
  <si>
    <t>:A:-1:Time_Adjust_Employment</t>
  </si>
  <si>
    <t>Output_Equilib_Yr[]|=14*10^6</t>
  </si>
  <si>
    <t>Gov_Spending</t>
  </si>
  <si>
    <t>Total government transfer payments, in each time period (in millions)</t>
  </si>
  <si>
    <t>:A:0:Time_Adjust_Capital</t>
  </si>
  <si>
    <t>Flexibility_Capacity_Utilization</t>
  </si>
  <si>
    <t>Equilib Real Wage</t>
  </si>
  <si>
    <t>ZZZ_Ranges!Output</t>
  </si>
  <si>
    <t>ZZZ_Ranges!Employment</t>
  </si>
  <si>
    <t>Tax Rate</t>
  </si>
  <si>
    <t>The capital productivity exponent used in the production function</t>
  </si>
  <si>
    <t>Capital_Avg_Life[]|</t>
  </si>
  <si>
    <t>:A:0:Model_Name</t>
  </si>
  <si>
    <t>:A:-1:Gov_Spend_Equilib_pct</t>
  </si>
  <si>
    <t>Gov_Transfers_Equilib_pct*Output_Equilib</t>
  </si>
  <si>
    <t>:A:-1:Employment_Desired</t>
  </si>
  <si>
    <t>Gov_Spend_Equilib</t>
  </si>
  <si>
    <t>The equilibrium level of employment (in millions of full-time-equivalent man-periods)</t>
  </si>
  <si>
    <t>Employment_Equilib</t>
  </si>
  <si>
    <t>:A:-1:Capital_Investment</t>
  </si>
  <si>
    <t>The characteristic time needed for consumers to adjust their expectation of permanent income as their incomes change, expressed in years</t>
  </si>
  <si>
    <t>Gov_Spend_Equilib_pct[]|</t>
  </si>
  <si>
    <t>Capital_Desired</t>
  </si>
  <si>
    <t>Demand_Expected_Short</t>
  </si>
  <si>
    <t>:A:0:Income_Current_Disposable</t>
  </si>
  <si>
    <t>:A:-1:dt</t>
  </si>
  <si>
    <t>Capital Exponent</t>
  </si>
  <si>
    <t>:A:0:Gov_Transfers_Equilib</t>
  </si>
  <si>
    <t>ZZZ_Ranges!Demand_Expected_Long</t>
  </si>
  <si>
    <t>Shock_Cutoff</t>
  </si>
  <si>
    <t>Aggregate Demand Shock</t>
  </si>
  <si>
    <t>Tax_Rate[]|=(Gov!B13+Gov!B16)/Output!B13</t>
  </si>
  <si>
    <t>Current Disposable Income</t>
  </si>
  <si>
    <t>The level of employment in each time period (expressed in millions of full-time-equivalent man-periods)</t>
  </si>
  <si>
    <t>Interest_Rate_Long</t>
  </si>
  <si>
    <t>Consumption_Avg_Propensity</t>
  </si>
  <si>
    <t>:A:-1:Flexibility_Capacity_Utilization</t>
  </si>
  <si>
    <t>14*10^6</t>
  </si>
  <si>
    <t>:A:0:Capital</t>
  </si>
  <si>
    <t>Long Interest Rate</t>
  </si>
  <si>
    <t>:A:0:Capital_Desired</t>
  </si>
  <si>
    <t>Gov_Transfers_Equilib</t>
  </si>
  <si>
    <t>ZZZ_Ranges!Employment_Date</t>
  </si>
  <si>
    <t>Income_Current_Disposable</t>
  </si>
  <si>
    <t>Capital_Expon*Demand_Expected_Long/(1/Capital_Avg_Life/periods_per("year")+Interest_Rate_Long)</t>
  </si>
  <si>
    <t>:A:-1:Demand_Expected_Long</t>
  </si>
  <si>
    <t>Consumption spending, in each time period (in millions)</t>
  </si>
  <si>
    <t>preve(Output_Equilib)+dt*preve(0, Demand_Aggregate-Demand_Expected_Long)/Time_Smooth_Long_Demand/periods_per("year")</t>
  </si>
  <si>
    <t>:A:0:Employment</t>
  </si>
  <si>
    <t>ZZZ_Ranges!Output_Date</t>
  </si>
  <si>
    <t>Shock_Std_Dev</t>
  </si>
  <si>
    <t>Shock_Output</t>
  </si>
  <si>
    <t>:A:-1:Gov_Transfers</t>
  </si>
  <si>
    <t>:A:-1:Output</t>
  </si>
  <si>
    <t>:A:-1:Time_Smooth_Short_Demand</t>
  </si>
  <si>
    <t>The characteristic time needed for long-term expected demand to adjust to changes in aggregate demand, expressed in years</t>
  </si>
  <si>
    <t>Tax_Rate</t>
  </si>
  <si>
    <t>The characteristic time needed for the level of employment to respond to changes in demand, expressed in years</t>
  </si>
  <si>
    <t>Potential output per time period given capital and labor inputs, in each time period (in millions). Output generally is lower than this level because capital is not flexible enough to be fully redeployed in response to fluctuations of demand.
This production function assumes that the economy has no scale effect; that is, doubling inputs to the economy doubles output.</t>
  </si>
  <si>
    <t>:A:0:Time_Smooth_Long_Demand</t>
  </si>
  <si>
    <t>:A:-1:Interest_Rate_Long</t>
  </si>
  <si>
    <t>Equilib Capital</t>
  </si>
  <si>
    <t>:A:0:Output_Potential</t>
  </si>
  <si>
    <t>preve(Capital_Expon*Output_Equilib/(1/Capital_Avg_Life/periods_per("year")+Interest_Rate_Long), capital+capital_investment-capital_depreciation)</t>
  </si>
  <si>
    <t>:A:0:dt</t>
  </si>
  <si>
    <t>Shock_Std_Dev_pct</t>
  </si>
  <si>
    <t>Time_Adjust_Capital</t>
  </si>
  <si>
    <t>:A:0:Output_Equilib</t>
  </si>
  <si>
    <t>Time Smooth Long Demand</t>
  </si>
  <si>
    <t>Name by which this model is known, as it appears at the top of each worksheet</t>
  </si>
  <si>
    <t>Capital investmnent in each time period (in millions)</t>
  </si>
  <si>
    <t>Equilibrium Employment</t>
  </si>
  <si>
    <t>Time Smooth Income</t>
  </si>
  <si>
    <t>:A:-1:Real_Wage_Equilib</t>
  </si>
  <si>
    <t>:A:0:Gov_Transfers</t>
  </si>
  <si>
    <t>ZZZ_Ranges!Final_Sales</t>
  </si>
  <si>
    <t>The amount of goods and services sold in the economy, in each time period (in millions)</t>
  </si>
  <si>
    <t>Income_Permanent</t>
  </si>
  <si>
    <t>The equilibrium level of government transfer payments in each time period, given current policies (in millions)</t>
  </si>
  <si>
    <t>Avg Propensity Consume</t>
  </si>
  <si>
    <t>Consumption_Avg_Propensity*Income_Permanent</t>
  </si>
  <si>
    <t>Interest_Rate_Long_Yr</t>
  </si>
  <si>
    <t>ZZZ_Ranges!Capital_Desired</t>
  </si>
  <si>
    <t>The aggregate demand for goods and services in the economy, in each time period</t>
  </si>
  <si>
    <t>Shock_Cutoff[]|</t>
  </si>
  <si>
    <t>Real_Wage_Equilib_pct*Output_Equilib/Employment_Equilib</t>
  </si>
  <si>
    <t>The average rate of taxation of all kinds including local, state and federal. This is a numerical input parameter of the model.</t>
  </si>
  <si>
    <t>:A:-1:Tax_Rate</t>
  </si>
  <si>
    <t>:A:0:Capital_Avg_Life</t>
  </si>
  <si>
    <t>ZZZ_Ranges!Capital</t>
  </si>
  <si>
    <t>Output-Tax+Gov_Transfers</t>
  </si>
  <si>
    <t>The ratio (equilibrium government transfer payments) / (equilibrium output). This is a numerical input to the model.</t>
  </si>
  <si>
    <t>Time_Smooth_Long_Demand</t>
  </si>
  <si>
    <t>dt</t>
  </si>
  <si>
    <t>Real_Wage_Equilib_pct</t>
  </si>
  <si>
    <t>:A:0:Shock_Std_Dev_pct</t>
  </si>
  <si>
    <t>:A:-1:Shock_Std_Dev</t>
  </si>
  <si>
    <t>Time Smooth Short Demand</t>
  </si>
  <si>
    <t>(Gov_Spend_Equilib+Gov_Transfers_Equilib)/Output_Equilib</t>
  </si>
  <si>
    <t>:A:-1:Interest_Rate_Long_Yr</t>
  </si>
  <si>
    <t>Capital_Expon</t>
  </si>
  <si>
    <t>:A:0:Capital_Depreciation</t>
  </si>
  <si>
    <t>:A:0:Capital_Expon</t>
  </si>
  <si>
    <t>:A:0:Employment_Desired</t>
  </si>
  <si>
    <t>Capital_Expon*Output_Equilib/(1/Capital_Avg_Life/periods_per("year")+Interest_Rate_Long)</t>
  </si>
  <si>
    <t>ZZZ_Ranges!Output_Potential</t>
  </si>
  <si>
    <t>The ratio (std dev of random shock) / (national income). This parameter does not depend on time because the model is based on an equilibrium economy with random shocks. This is a numerical input parameter of the model.</t>
  </si>
  <si>
    <t>Demand_Expected_Long</t>
  </si>
  <si>
    <t>The standard deviation of all the random shock terms in the model. The std dev changes as the sqrt of the time period because it is a "Gauss-Wiener process", which generalizes a Gaussian random walk to time steps of all sizes.</t>
  </si>
  <si>
    <t>Desired Employment</t>
  </si>
  <si>
    <t>Interest_Rate_Long_Yr[]|</t>
  </si>
  <si>
    <t>Short Expected Demand</t>
  </si>
  <si>
    <t>Final_Sales+0+Shock_Aggregate_Demand</t>
  </si>
  <si>
    <t>:A:0:Final_Sales</t>
  </si>
  <si>
    <t>ZZZ_Ranges!Capital_Date</t>
  </si>
  <si>
    <t>:A:0:Demand_Expected_Short</t>
  </si>
  <si>
    <t>Government spending when the economy is in equilibrium</t>
  </si>
  <si>
    <t>The limit in outliers for random shocks, expressed in terms of the cumulative tail probability below which shocks are not allowed.</t>
  </si>
  <si>
    <t>ZZZ_Ranges!Demand_Aggregate</t>
  </si>
  <si>
    <t>ZZZ_Ranges!Income_Permanent_Date</t>
  </si>
  <si>
    <t>Capital</t>
  </si>
  <si>
    <t>:A:0:Gov_Spend_Equilib</t>
  </si>
  <si>
    <t>:SD:0:1/1/2010</t>
  </si>
  <si>
    <t>Equilibrium Annual Output</t>
  </si>
  <si>
    <t>Consumption+Capital_Investment+Gov_Spending</t>
  </si>
  <si>
    <t>:A:-1:Time_Smooth_Long_Demand</t>
  </si>
  <si>
    <t>Final Sales</t>
  </si>
  <si>
    <t>:A:-1:Capital_Equilib</t>
  </si>
  <si>
    <t>:A:0:Employment_Equilib</t>
  </si>
  <si>
    <t>The characteristic time needed for short-term expected demand to adjust to changes in aggregate demand, expressed in years</t>
  </si>
  <si>
    <t>:A:-1:Shock_Std_Dev_pct</t>
  </si>
  <si>
    <t>:A:-1:Income_Permanent</t>
  </si>
  <si>
    <t>ZZZ_Ranges!Output_Potential_Date</t>
  </si>
  <si>
    <t>Output</t>
  </si>
  <si>
    <t>The capital stock, in each time period (expressed in millions). The net capital investment in the previous time period determines the change in capital in each time period, to avoid circularity</t>
  </si>
  <si>
    <t>Capital_Expon[]|</t>
  </si>
  <si>
    <t>:A:-1:Capital</t>
  </si>
  <si>
    <t>Time_Smooth_Long_Demand[]|</t>
  </si>
  <si>
    <t>:A:-1:Output_Potential</t>
  </si>
  <si>
    <t>:A:0:Flexibility_Capacity_Utilization</t>
  </si>
  <si>
    <t>:A:-1:Real_Wage_Equilib_pct</t>
  </si>
  <si>
    <t>Demand_Aggregate</t>
  </si>
  <si>
    <t>ZZZ_Ranges!Demand_Aggregate_Date</t>
  </si>
  <si>
    <t>Output_Potential</t>
  </si>
  <si>
    <t>Gov_Spend_Equilib_pct</t>
  </si>
  <si>
    <t>ZZZ_Ranges!Final_Sales_Time_Period</t>
  </si>
  <si>
    <t>Flexibility of capacity unitlization. Measures how well the capital stock responds to short-term changes in demand.</t>
  </si>
  <si>
    <t>:A:0:Gov_Spending</t>
  </si>
  <si>
    <t>Equilibrium Gov Spend %</t>
  </si>
  <si>
    <t>Flexibility_Capacity_Utilization[]|</t>
  </si>
  <si>
    <t>:A:-1:Income_Current_Disposable</t>
  </si>
  <si>
    <t>:A:-1:Capital_Expon</t>
  </si>
  <si>
    <t>:A:-1:Consumption_Avg_Propensity</t>
  </si>
  <si>
    <t>:A:0:Capital_Equilib</t>
  </si>
  <si>
    <t>Time</t>
  </si>
  <si>
    <t>Desired Capital</t>
  </si>
  <si>
    <t>:A:-1:Demand_Expected_Short</t>
  </si>
  <si>
    <t>:A:-1:Capital_Desired</t>
  </si>
  <si>
    <t>Gov_Transfers_Equilib_pct</t>
  </si>
  <si>
    <t>:A:0:Time_Smooth_Short_Demand</t>
  </si>
  <si>
    <t>:A:-1:Gov_Spend_Equilib</t>
  </si>
  <si>
    <t>ZZZ_Ranges!Demand_Expected_Long_Date</t>
  </si>
  <si>
    <t>:A:0:Income_Permanent</t>
  </si>
  <si>
    <t>ZZZ_Ranges!Income_Permanent_Time_Period</t>
  </si>
  <si>
    <t>:A:-1:Final_Sales</t>
  </si>
  <si>
    <t>:A:-1:Gov_Transfers_Equilib_pct</t>
  </si>
  <si>
    <t>:A:-1:Shock_Cutoff</t>
  </si>
  <si>
    <t>:A:-1:Capital_Depreciation</t>
  </si>
  <si>
    <t>:A:0:Shock_Std_Dev</t>
  </si>
  <si>
    <t>Gov_Transfers</t>
  </si>
  <si>
    <t>Consumption</t>
  </si>
  <si>
    <t>Time Adjust Capital</t>
  </si>
  <si>
    <t>preve(Output_Equilib-Gov_Spend_Equilib)+dt*preve(0, Income_Current_Disposable-Income_Permanent)/Time_Smooth_Income/periods_per("year")</t>
  </si>
  <si>
    <t>Equilib Gov Spending</t>
  </si>
  <si>
    <t>:A:0:Gov_Spend_Equilib_pct</t>
  </si>
  <si>
    <t>Test Model</t>
  </si>
  <si>
    <t>The long-term annual interest rate on debt. This is a numerical input parameter of the model.</t>
  </si>
  <si>
    <t>:A:0:Gov_Transfers_Equilib_pct</t>
  </si>
  <si>
    <t>Time_Adjust_Employment[]|</t>
  </si>
  <si>
    <t>Shock_Aggregate_Demand</t>
  </si>
  <si>
    <t>Final_Sales</t>
  </si>
  <si>
    <t>:A:-1:Model_Name</t>
  </si>
  <si>
    <t>Short-term expected demand for goods and services per time period, in each time period (in millions)</t>
  </si>
  <si>
    <t>Capital Investment</t>
  </si>
  <si>
    <t>Time_Smooth_Income</t>
  </si>
  <si>
    <t>:A:0:Shock_Aggregate_Demand</t>
  </si>
  <si>
    <t>:A:0:Tax</t>
  </si>
  <si>
    <t>:A:-1:Gov_Transfers_Equilib</t>
  </si>
  <si>
    <t>Equilibrium Gov Transfers %</t>
  </si>
  <si>
    <t>:A:0:Time_Smooth_Income</t>
  </si>
  <si>
    <t>Equilibrium Real Wage %</t>
  </si>
  <si>
    <t>(1-Capital_Expon)*Demand_Expected_Short/Real_Wage_Equilib</t>
  </si>
  <si>
    <t>The total output per time period, in each time period (in millions)</t>
  </si>
  <si>
    <t>ZZZ_Ranges!Consumption_Date</t>
  </si>
  <si>
    <t>Formula / Data</t>
  </si>
  <si>
    <t>:WS:</t>
  </si>
  <si>
    <t>:A:-1:Time_Smooth_Income</t>
  </si>
  <si>
    <t>Capital_Depreciation</t>
  </si>
  <si>
    <t>Real_Wage_Equilib_pct[]|</t>
  </si>
  <si>
    <t>:A:0:Shock_Output</t>
  </si>
  <si>
    <t>:A:0:Real_Wage_Equilib_pct</t>
  </si>
  <si>
    <t>Consumers' expectation of their permanent income per time period, in each time period (in $ millions). This variable enters into consumers' decisions about how much of their income to spend.</t>
  </si>
  <si>
    <t>ZZZ_Ranges!Demand_Expected_Short_Time_Period</t>
  </si>
  <si>
    <t>:A:-1:Employment</t>
  </si>
  <si>
    <t>:A:-1:Shock_Output</t>
  </si>
  <si>
    <t>Shock Std Deviation %</t>
  </si>
  <si>
    <t>The long-term expected demand for goods and services per time period, in each time period (in millions)</t>
  </si>
  <si>
    <t>Gov_Spend_Equilib_pct*Output_Equilib</t>
  </si>
  <si>
    <t>:A:0:Time</t>
  </si>
  <si>
    <t>ZZZ_Ranges!Demand_Expected_Short_Date</t>
  </si>
  <si>
    <t>Time in years from the beginning of Model Time</t>
  </si>
  <si>
    <t>Employment_Equilib[]|</t>
  </si>
  <si>
    <t>The ratio (equilibrium government spending) / (equilibrium output). This is a numerical input to the model.</t>
  </si>
  <si>
    <t>Total taxes in the economy (in $ millions), in each time period</t>
  </si>
  <si>
    <t>:A:-1:Employment_Equilib</t>
  </si>
  <si>
    <t>ZZZ_Ranges!Income_Permanent</t>
  </si>
  <si>
    <t>Time_Smooth_Short_Demand</t>
  </si>
  <si>
    <t>Display As</t>
  </si>
  <si>
    <t>:A:0:Demand_Expected_Long</t>
  </si>
  <si>
    <t>Global</t>
  </si>
  <si>
    <t>Aggregate Demand</t>
  </si>
  <si>
    <t>:A:-1:Consumption</t>
  </si>
  <si>
    <t>Data:</t>
  </si>
  <si>
    <t>Time_Adjust_Employment</t>
  </si>
  <si>
    <t>Time Adjust Employment</t>
  </si>
  <si>
    <t>ZZZ_Ranges!Employment_Time_Period</t>
  </si>
  <si>
    <t>Equilibrium annual output (in millions)</t>
  </si>
  <si>
    <t>ZZZ_Ranges!Demand_Expected_Long_Time_Period</t>
  </si>
  <si>
    <t>preve(Employment_Equilib)+dt*preve(0, Employment_Desired-Employment)/Time_Adjust_Employment/periods_per("year")</t>
  </si>
  <si>
    <t>:A:0:Capital_Investment</t>
  </si>
  <si>
    <t>ZZZ_Ranges!Final_Sales_Date</t>
  </si>
  <si>
    <t>:A:-1:Tax</t>
  </si>
  <si>
    <t>:A:-1:Capital_Avg_Life</t>
  </si>
  <si>
    <t>ZZZ_Ranges!Employment_Desired_Time_Period</t>
  </si>
  <si>
    <t>ZZZ_Ranges!Consumption</t>
  </si>
  <si>
    <t>:A:0:Real_Wage_Equilib</t>
  </si>
  <si>
    <t>preve(0)+1/periods_per("year")</t>
  </si>
  <si>
    <t>:A:0:Interest_Rate_Long_Yr</t>
  </si>
  <si>
    <t>Permanent Income</t>
  </si>
  <si>
    <t>:A:0:Output_Equilib_Yr</t>
  </si>
  <si>
    <t>:A:0:Tax_Rate</t>
  </si>
  <si>
    <t>Equilibrium Output</t>
  </si>
  <si>
    <t>Shock_Std_Dev_pct[]|</t>
  </si>
  <si>
    <t>:A:0:Time_Adjust_Employment</t>
  </si>
  <si>
    <t>Dimension Index</t>
  </si>
  <si>
    <t>A random shock to the output of the economy, in each time period</t>
  </si>
  <si>
    <t>:A:-1:Time</t>
  </si>
  <si>
    <t>Consumption_Avg_Propensity[]|</t>
  </si>
  <si>
    <t>Display Label</t>
  </si>
  <si>
    <t>:A:0:Output</t>
  </si>
  <si>
    <t>:WS:Output1</t>
  </si>
  <si>
    <t>Variable</t>
  </si>
  <si>
    <t>The ratio (equilibrium real wage) / (national income). This is a numerical input parameter of the model.</t>
  </si>
  <si>
    <t>Capital_Equilib</t>
  </si>
  <si>
    <t>Output_Equilib_Yr</t>
  </si>
  <si>
    <t>Avg Life Capital</t>
  </si>
  <si>
    <t>ZZZ_Ranges!Employment_Desired_Date</t>
  </si>
  <si>
    <t>Time_Smooth_Income[]|</t>
  </si>
  <si>
    <t>ZZZ_Ranges!Income_Current_Disposable</t>
  </si>
  <si>
    <t>Capital_Depreciation+(Capital_Desired-Capital)/Time_Adjust_Capital/periods_per("year")</t>
  </si>
  <si>
    <t>ZZZ_Ranges!Employment_Desired</t>
  </si>
  <si>
    <t>This is a numerical input parameter of the model.</t>
  </si>
  <si>
    <t>The propensity to consume, expressed as a percent of output, in each time period</t>
  </si>
  <si>
    <t>The characteristic time needed for the stock of capital to adjust to changes in demand, expressed in years</t>
  </si>
  <si>
    <t>:A:-1:Shock_Aggregate_Demand</t>
  </si>
  <si>
    <t>:A:0:Shock_Cutoff</t>
  </si>
  <si>
    <t>Output Shock</t>
  </si>
  <si>
    <t>Macro-Economic Model with Prices, Money Supply, Inventory Cycles, Random Shocks</t>
  </si>
  <si>
    <t>You can customize this template by filling in a simple form, without editing a spreadsheet.</t>
  </si>
  <si>
    <t>This is a small and somewhat simplified working sample of the template.</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</si>
  <si>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</si>
  <si>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</si>
  <si>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</si>
  <si>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</si>
  <si>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</si>
  <si>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</si>
  <si>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</si>
  <si>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</si>
  <si>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</si>
  <si>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</si>
  <si>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</si>
  <si>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</si>
  <si>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</si>
  <si>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</si>
  <si>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</si>
  <si>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</si>
  <si>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</si>
  <si>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</si>
  <si>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</si>
  <si>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</si>
  <si>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</si>
  <si>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</si>
  <si>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</si>
  <si>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</si>
  <si>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</si>
  <si>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</si>
  <si>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</si>
  <si>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</si>
  <si>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</si>
  <si>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</si>
  <si>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</si>
  <si>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Macro-Economic Model</t>
  </si>
  <si>
    <t>ModelSheet Software is solely responsible for any errors in this derivative work.</t>
  </si>
  <si>
    <t>The second model extends the first macro-economic model by adding a rudimentary financial market to the production economy. It has a variable interest rate and a variable demand for capital.  The financial market model is based on the IS-LM model presented by Hicks in 1937.</t>
  </si>
  <si>
    <t>The third model extends the second model by adding a variable price level with a constant money supply to the production and financial markets. It is based on the aggregate supply aggregate demand model.</t>
  </si>
  <si>
    <t xml:space="preserve">This fourth model adds an inventory adjustment mechanism. Adjustment of inventory is a significant factor in short-term business cycles.  Meltzer outlined early macroeconomic inventory adjustment models in 1941. </t>
  </si>
  <si>
    <t>This model also includes a lagged unemployment variable which does not affect the rest of the model and is used only for analysis.</t>
  </si>
  <si>
    <t>As you explore the model, we suggest that you</t>
  </si>
  <si>
    <t>• Read some of the Excel comments that are attached to Analysis Variables throughout the workbook.
  These comments also appear in ModelSheet in convenient places.</t>
  </si>
  <si>
    <t>• View worksheet "Formulas" which shows the named variables and symbolic formulas of the model
   in a compact and readable form. The symbolic formulas are not active in this Excel workbook, but they
   give you some idea how the model works, and how it looks in ModelSheet.</t>
  </si>
  <si>
    <t>Suggestions for using this model</t>
  </si>
  <si>
    <t>2. Customize this Excel workbook to make a job evaluation model that fits your situation.</t>
  </si>
  <si>
    <t>Technical notes: Overview of Modified Multiplier-Accelerator Model</t>
  </si>
  <si>
    <t>Purple indicates a change in the second model compared to the first model.</t>
  </si>
  <si>
    <t>Green indicates a change in the third model compared to the second model.</t>
  </si>
  <si>
    <t>Red indicates a change in the fourth model compared to the third model.</t>
  </si>
  <si>
    <t>1. Ten time-evolution variables</t>
  </si>
  <si>
    <t>employment(t)</t>
  </si>
  <si>
    <t>demand_expected_short(t)</t>
  </si>
  <si>
    <t>income_permanent(t)</t>
  </si>
  <si>
    <t>demand_expected_long(t)</t>
  </si>
  <si>
    <t>capital(t)</t>
  </si>
  <si>
    <t>output_average(t)</t>
  </si>
  <si>
    <t>prices(t)</t>
  </si>
  <si>
    <t>money_supply(t)</t>
  </si>
  <si>
    <t>inventory(t)</t>
  </si>
  <si>
    <t>unemployment_rate_lagged(t)</t>
  </si>
  <si>
    <t>2. Ten time-evolution equations</t>
  </si>
  <si>
    <t>• d employment(t) /dt = (employment_desired(t) - employment(t)) / time_adjust_employment</t>
  </si>
  <si>
    <t>• d demand_expected_short(t) / dt 
    = (demand_aggregate(t) - demand_expected_short(t)) / time_smooth_short_demand</t>
  </si>
  <si>
    <t>• d income_permanent(t) / dt =
    (income_current_disposable(t) - income_permanent(t) )/ time_smooth_income</t>
  </si>
  <si>
    <r>
      <t xml:space="preserve">• </t>
    </r>
    <r>
      <rPr>
        <sz val="10"/>
        <rFont val="Calibri"/>
        <family val="2"/>
      </rPr>
      <t>Δ</t>
    </r>
    <r>
      <rPr>
        <sz val="10"/>
        <rFont val="Arial"/>
        <family val="2"/>
      </rPr>
      <t xml:space="preserve"> capital(t)  = capital_investment(t) - capital_depreciation(t)</t>
    </r>
  </si>
  <si>
    <t>• d demand_expected_long(t) / dt =
    (demand_aggregate(t) - demand_expected_long(t) ) / time_smooth_long_demand</t>
  </si>
  <si>
    <t>• d output_average(t) / dt = (output(t) - output_average(t) ) / time_smooth_output_average</t>
  </si>
  <si>
    <t>• d prices(t) / dt = prices(t)* Phillips_slope * (unemployment_rate_natural / unemployment_rate(t) - 1)</t>
  </si>
  <si>
    <t>• d money_supply(t) / dt = 0</t>
  </si>
  <si>
    <r>
      <t xml:space="preserve">• </t>
    </r>
    <r>
      <rPr>
        <b/>
        <sz val="10"/>
        <color indexed="10"/>
        <rFont val="Calibri"/>
        <family val="2"/>
      </rPr>
      <t>Δ</t>
    </r>
    <r>
      <rPr>
        <b/>
        <sz val="10"/>
        <color indexed="10"/>
        <rFont val="Arial"/>
        <family val="2"/>
      </rPr>
      <t xml:space="preserve"> inventory(t)  = output(t) - final_sales(t)</t>
    </r>
  </si>
  <si>
    <t>• d unemployment_rate_lagged(t) / dt =
    (unemployment_rate(t) - unemployment_rate_lagged(t)) / time_smooth_unemployment</t>
  </si>
  <si>
    <t>3. Five types of auxiliary functions appear in the evolution equations</t>
  </si>
  <si>
    <t>• Output</t>
  </si>
  <si>
    <t>output(t) := output_potential(t) * (1-flexibility_capacity_utilization) + demand_expected_short(t) *
     flexibility_capacity_utilization + output_noise(t)</t>
  </si>
  <si>
    <t>output_potential(t):= 
    output_equilib * (employment(t) / employment_equilib) ^ (1-capital_expon) *
     (capital / capital_equilib) ^ capital_expon</t>
  </si>
  <si>
    <t>desired inventory(t) := natural_inventory_coverage * long_expected_demand</t>
  </si>
  <si>
    <t>desired inventory_investment(t) := (desired inventory - inventory) / time_adjust_inventory</t>
  </si>
  <si>
    <t>The inventory variables are added in this fourth Forrester model.</t>
  </si>
  <si>
    <t>• Labor Market</t>
  </si>
  <si>
    <t>employment_desired(t) :=
     (1-capital_expon) * demand_expected_short(t) / real_wage</t>
  </si>
  <si>
    <t>unemployment_rate(t):= (employment_equilib / (1 – unemployment_rate_natural) - employment) /
     (employment)equilib / (1 – unemployment_rate_natural))</t>
  </si>
  <si>
    <t>• Demand</t>
  </si>
  <si>
    <t>demand_aggregate(t):= final_sales(t) + desired_inventory_investment(t) + demand_aggregate_noise(t)</t>
  </si>
  <si>
    <t>Aggregate demand is altered to include desired inventory investment in this fourth Forrester model.</t>
  </si>
  <si>
    <t>final_sales(t) :=consumption(t) + capital_invest(t) + gov_spending(t)</t>
  </si>
  <si>
    <t>consumption(t) := consumption_avg_propensity * income_permanent</t>
  </si>
  <si>
    <t>income_current_disposable(t):=output(t) - ( tax(t) - gov_transfers(t) )</t>
  </si>
  <si>
    <t xml:space="preserve">• Capital Investment </t>
  </si>
  <si>
    <t>interest_rate(t) := interest_rate_long *
   ( (output / output_average) ^ (- money_income_elasticity) ) ^ (1/money_interest_elasticity)</t>
  </si>
  <si>
    <t>The time-varying interest rate is added in the second Forrester model.</t>
  </si>
  <si>
    <t>interest_rate(t) := interest_rate_long *
   ( money_supply * (money_equilib_velocity/output_equilib/prices )
   * ( (output_equilib / output_average) ^ money_income_elasticity ) ^ (1/money_interest_elasticity)</t>
  </si>
  <si>
    <t>The time-varying interest rate is changed in the third model to use prices and money supply.</t>
  </si>
  <si>
    <t>capital_investment(t) :=capital_depreciation(t) + ( capital_desired(t) – capital(t) ) / time_adjust_capital</t>
  </si>
  <si>
    <t>capital_depreciation(t) := capital / capital_avg_life</t>
  </si>
  <si>
    <t>capital_desired(t) := 
    capital_expon * demand_expected_long(t) / (1/capital_avg_life + interest_rate)</t>
  </si>
  <si>
    <t>Desired capital is changed in the second Forrester model to use time-varying interest rate.</t>
  </si>
  <si>
    <t>• Government Sector</t>
  </si>
  <si>
    <t>tax(t) := tax_rate * output(t)</t>
  </si>
  <si>
    <t>gov_transfers(t) := gov_transfers_equilib</t>
  </si>
  <si>
    <t>gov_spending(t) := gov_spend_equilib</t>
  </si>
  <si>
    <t>4. Numerical parameters</t>
  </si>
  <si>
    <t>Average propensity to consume: consumption_avg_propensity = 0.78</t>
  </si>
  <si>
    <t>Time to smooth income: time_smooth_income = 2.5</t>
  </si>
  <si>
    <t>Time to smooth short run demand: time_smooth_short_demand : 0.5</t>
  </si>
  <si>
    <t>Time to smooth long run demand: time_smooth_long_demand : 3.0</t>
  </si>
  <si>
    <t>• Labor</t>
  </si>
  <si>
    <t>Expected labor (million man-years per year): employment_equilib = 100</t>
  </si>
  <si>
    <t>Real wage $ million per million-man-year (set so that wages are 75% of national income):
 real_wage = 0.75 * output_equilib / employment_equilib</t>
  </si>
  <si>
    <t>Time to adjust employment : time_adjust_employment = 0.4</t>
  </si>
  <si>
    <t>Time to smooth unemployment: time_smooth_unemployment = 1.0</t>
  </si>
  <si>
    <t>Time to smooth unemployment is added in this fourth Forrester model.</t>
  </si>
  <si>
    <r>
      <t>•</t>
    </r>
    <r>
      <rPr>
        <sz val="10"/>
        <rFont val="Arial"/>
        <family val="2"/>
      </rPr>
      <t xml:space="preserve"> Capital Investment</t>
    </r>
  </si>
  <si>
    <t>Exponent on capital in the production function: capital_expon = 0.25</t>
  </si>
  <si>
    <t>long run interest rate: interest_rate_long = 3.0%</t>
  </si>
  <si>
    <t>Average life of capital: capital_avg_life = 14.0</t>
  </si>
  <si>
    <t>Equilibrium capital: capital_equilib =
    capital_expon * output_equilib / (1/capital_avg_life + interest_rate_long)</t>
  </si>
  <si>
    <t>Time to adjust capital: time_adjust_capital = 3.0</t>
  </si>
  <si>
    <t>Flexibility of capacity utilization: flexibility_capacity_utilization = 3.0</t>
  </si>
  <si>
    <t xml:space="preserve">Income elasticity of money demand: demand_income_elasticity  = 0.7 </t>
  </si>
  <si>
    <t>Interest elasticity of money: money_interest_elasticity  = -1.0</t>
  </si>
  <si>
    <r>
      <t>•</t>
    </r>
    <r>
      <rPr>
        <sz val="10"/>
        <rFont val="Arial"/>
        <family val="2"/>
      </rPr>
      <t xml:space="preserve"> Output</t>
    </r>
  </si>
  <si>
    <t>Annual equilibrium national output: output_equilib = $ 14.0 * 10^6 millions</t>
  </si>
  <si>
    <t>Time to smooth average output: time_smooth_output_average = 3.0</t>
  </si>
  <si>
    <t>(Added in the second Forrester model)</t>
  </si>
  <si>
    <t>Ratio of inventory to sales: net_inventory_coverage = 0.3</t>
  </si>
  <si>
    <t>Time to adjust inventory: time_adjust_inventory = 0.4</t>
  </si>
  <si>
    <r>
      <t>•</t>
    </r>
    <r>
      <rPr>
        <sz val="10"/>
        <rFont val="Arial"/>
        <family val="2"/>
      </rPr>
      <t xml:space="preserve"> Government Spending</t>
    </r>
  </si>
  <si>
    <t>Equilibrium government spending pct:  gov_spend_equilib_pct = 20% (gov_spend_equilib : 0.2 * output_equilib)</t>
  </si>
  <si>
    <t>Equilibrium government transfers pct: gov_transfers_equilib_pct  = 10% (gov_transfers_equilib : 0.1 * output_equilib)</t>
  </si>
  <si>
    <t>Tax rate (set to cover government spending and transfers with no surplus or deficit): 
   tax_rate : (equilibrium_govt_spend+equilibrium_govt_transfers) / output_equilib</t>
  </si>
  <si>
    <r>
      <t>•</t>
    </r>
    <r>
      <rPr>
        <sz val="10"/>
        <rFont val="Arial"/>
        <family val="2"/>
      </rPr>
      <t xml:space="preserve"> Prices and Money</t>
    </r>
  </si>
  <si>
    <t>natural rate of unemployment: unemployment_rate_natural = 5%</t>
  </si>
  <si>
    <t>slope of the Phillips curve: phillips_slope = 0.175</t>
  </si>
  <si>
    <t>equilibrium income velocity of money: equilib_velocity_money = 6.0</t>
  </si>
  <si>
    <t>The equilibrium price level determines the ratio of the money to output: prices_equilib = 1.0</t>
  </si>
  <si>
    <t>5. Initial conditions</t>
  </si>
  <si>
    <t>Average output: output_average(t=0) = output_equilib</t>
  </si>
  <si>
    <t>output_average was added in the second Forrester model.</t>
  </si>
  <si>
    <t>Employment: employment(t=0) = employment_equilib</t>
  </si>
  <si>
    <t>Short run equilibrium demand:  demand_expected_short(t=0) = output_equilib</t>
  </si>
  <si>
    <t>Permanent income:   income_permanent(t=0) = output_equilib - equilibrium_govt_spend</t>
  </si>
  <si>
    <t>Capital:  capital(t=0) = capital_expon * output_equilib * (1/capital_avg_life +interest_rate_long)</t>
  </si>
  <si>
    <t>The initial condition for capital is changed to include the interest rate in the second Forrester model.</t>
  </si>
  <si>
    <t>Long run equilibrium demand:  demand_expected_long(t=0) = output_equilib</t>
  </si>
  <si>
    <t>Prices: prices(t=0) = prices_equilib</t>
  </si>
  <si>
    <t>Money supply: money(t=0) = income_equilib * prices_equilib / equilib_velocity_money</t>
  </si>
  <si>
    <t>Inventory: inventory(t=0) = output_equilib * net_inventory_coverage</t>
  </si>
  <si>
    <t>ModelSheet and the ModelSheet logo are registered trademarks of ModelSheet Software, LLC.</t>
  </si>
  <si>
    <t>This model simulates the evolution of a national economy using one of four economic models of increasing complexity from "A Dynamic Synthesis of Basic Macroeconomic Theory: Implications for Stabilization and Policy Analysis," by Nathan B. Forrester, thesis at M.I.T. Sloan School of Management, 1982. URL: http://hdl.handle.net/1721.1/15739</t>
  </si>
  <si>
    <t>Explore our customized templates.</t>
  </si>
  <si>
    <t>Learn more about consulting services.</t>
  </si>
  <si>
    <t>This Excel workbook was generated by ModelSheet on January 22, 2010, except for this worksheet of comments.</t>
  </si>
  <si>
    <t>Copyright © 2009, 2010 ModelSheet Software, LLC</t>
  </si>
  <si>
    <t>1. Use this workbook as-is, if it fits your situation. You can change the data in the dark blue input  cells. You can
    change the display names of dimension items and variables in dark blue cells on worksheet "Labels."</t>
  </si>
  <si>
    <t>3. Use ModelSheet Authoring to edit the formulas in this model, using named variables, symbolic formulas
    (and far fewer formulas), segmentation dimensions and time series, without ever touching a cell address -- 
    and end up with a conventional Excel workbook.</t>
  </si>
  <si>
    <t>Please contact us for access to ModelSheet Authoring.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</si>
</sst>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Red]\(&quot;$&quot;#,##0\)"/>
    <numFmt numFmtId="165" formatCode="&quot;$&quot;#,##0.00_);[Red]\(&quot;$&quot;#,##0.00\)"/>
    <numFmt numFmtId="166" formatCode="#,##0.0%"/>
    <numFmt numFmtId="167" formatCode="#,##0.00%"/>
    <numFmt numFmtId="168" formatCode="m\/d\/yyyy"/>
    <numFmt numFmtId="169" formatCode="&quot;$&quot;#,##0.000_);[Red]\(&quot;$&quot;#,##0.000\)"/>
    <numFmt numFmtId="170" formatCode="#,##0.000"/>
    <numFmt numFmtId="171" formatCode="#,##0.0"/>
    <numFmt numFmtId="172" formatCode="#,##0%"/>
    <numFmt numFmtId="173" formatCode="&quot;$&quot;#,##0.0_);[Red]\(&quot;$&quot;#,##0.0\)"/>
  </numFmts>
  <fonts count="45" x14ac:knownFonts="1">
    <font>
      <sz val="10"/>
      <name val="Arial"/>
      <family val="2"/>
    </font>
    <font>
      <sz val="10"/>
      <name val="Arial"/>
      <family val="2"/>
    </font>
    <font>
      <b/>
      <sz val="8"/>
      <color indexed="8"/>
      <name val="Arial"/>
      <family val="2"/>
    </font>
    <font>
      <b/>
      <i/>
      <sz val="8"/>
      <color indexed="8"/>
      <name val="Arial"/>
      <family val="2"/>
    </font>
    <font>
      <sz val="8"/>
      <color indexed="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indexed="8"/>
      <name val="Arial"/>
      <family val="2"/>
    </font>
    <font>
      <sz val="8"/>
      <color indexed="8"/>
      <name val="Arial"/>
      <family val="2"/>
    </font>
    <font>
      <b/>
      <sz val="8"/>
      <color indexed="8"/>
      <name val="Arial"/>
      <family val="2"/>
    </font>
    <font>
      <b/>
      <u/>
      <sz val="9"/>
      <color indexed="8"/>
      <name val="Arial"/>
      <family val="2"/>
    </font>
    <font>
      <i/>
      <sz val="8"/>
      <color indexed="8"/>
      <name val="Arial"/>
      <family val="2"/>
    </font>
    <font>
      <b/>
      <sz val="8"/>
      <name val="Arial"/>
      <family val="2"/>
    </font>
    <font>
      <b/>
      <sz val="12"/>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i/>
      <sz val="10"/>
      <name val="Arial"/>
      <family val="2"/>
    </font>
    <font>
      <u/>
      <sz val="10"/>
      <name val="Arial"/>
      <family val="2"/>
    </font>
    <font>
      <b/>
      <sz val="10"/>
      <color indexed="10"/>
      <name val="Calibri"/>
      <family val="2"/>
    </font>
    <font>
      <b/>
      <sz val="10"/>
      <color indexed="10"/>
      <name val="Arial"/>
      <family val="2"/>
    </font>
    <font>
      <u/>
      <sz val="10"/>
      <color theme="10"/>
      <name val="Arial"/>
      <family val="2"/>
    </font>
    <font>
      <b/>
      <sz val="11"/>
      <color rgb="FFFF0000"/>
      <name val="Arial"/>
      <family val="2"/>
    </font>
    <font>
      <sz val="10"/>
      <color rgb="FFFF0000"/>
      <name val="Arial"/>
      <family val="2"/>
    </font>
    <font>
      <b/>
      <sz val="10"/>
      <color rgb="FF660066"/>
      <name val="Arial"/>
      <family val="2"/>
    </font>
    <font>
      <b/>
      <sz val="10"/>
      <color rgb="FF009900"/>
      <name val="Arial"/>
      <family val="2"/>
    </font>
    <font>
      <b/>
      <sz val="10"/>
      <color rgb="FFFF0000"/>
      <name val="Arial"/>
      <family val="2"/>
    </font>
  </fonts>
  <fills count="18">
    <fill>
      <patternFill patternType="none"/>
    </fill>
    <fill>
      <patternFill patternType="gray125"/>
    </fill>
    <fill>
      <patternFill patternType="solid">
        <fgColor indexed="28"/>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29"/>
        <bgColor indexed="64"/>
      </patternFill>
    </fill>
    <fill>
      <patternFill patternType="solid">
        <fgColor indexed="55"/>
        <bgColor indexed="64"/>
      </patternFill>
    </fill>
    <fill>
      <patternFill patternType="solid">
        <fgColor indexed="9"/>
        <bgColor indexed="64"/>
      </patternFill>
    </fill>
    <fill>
      <patternFill patternType="solid">
        <fgColor indexed="27"/>
        <bgColor indexed="64"/>
      </patternFill>
    </fill>
    <fill>
      <patternFill patternType="solid">
        <fgColor indexed="30"/>
        <bgColor indexed="64"/>
      </patternFill>
    </fill>
    <fill>
      <patternFill patternType="solid">
        <fgColor rgb="FFCCCCFF"/>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8"/>
      </bottom>
      <diagonal/>
    </border>
    <border>
      <left/>
      <right/>
      <top/>
      <bottom style="medium">
        <color indexed="28"/>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36">
    <xf numFmtId="0" fontId="0" fillId="0" borderId="0">
      <alignment vertical="center"/>
    </xf>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9" fillId="5" borderId="1" applyNumberFormat="0" applyAlignment="0" applyProtection="0"/>
    <xf numFmtId="0" fontId="10" fillId="13" borderId="2" applyNumberFormat="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39" fillId="0" borderId="0" applyNumberFormat="0" applyFill="0" applyBorder="0" applyAlignment="0" applyProtection="0">
      <alignment vertical="top"/>
      <protection locked="0"/>
    </xf>
    <xf numFmtId="0" fontId="16" fillId="3" borderId="1" applyNumberFormat="0" applyAlignment="0" applyProtection="0"/>
    <xf numFmtId="0" fontId="17" fillId="0" borderId="6" applyNumberFormat="0" applyFill="0" applyAlignment="0" applyProtection="0"/>
    <xf numFmtId="0" fontId="23" fillId="14" borderId="0" applyNumberFormat="0" applyFont="0" applyFill="0" applyBorder="0" applyAlignment="0" applyProtection="0">
      <alignment vertical="top" shrinkToFit="1"/>
    </xf>
    <xf numFmtId="0" fontId="24" fillId="14" borderId="0" applyNumberFormat="0" applyFont="0" applyFill="0" applyBorder="0" applyAlignment="0" applyProtection="0">
      <alignment vertical="top" shrinkToFit="1"/>
    </xf>
    <xf numFmtId="0" fontId="25" fillId="14" borderId="7" applyNumberFormat="0" applyFont="0" applyFill="0" applyBorder="0" applyAlignment="0" applyProtection="0">
      <alignment vertical="top" shrinkToFit="1"/>
    </xf>
    <xf numFmtId="0" fontId="25" fillId="15" borderId="7">
      <alignment horizontal="left" vertical="top" shrinkToFit="1"/>
      <protection locked="0"/>
    </xf>
    <xf numFmtId="0" fontId="26" fillId="14" borderId="0" applyNumberFormat="0" applyFont="0" applyFill="0" applyBorder="0" applyAlignment="0" applyProtection="0">
      <alignment vertical="top" shrinkToFit="1"/>
    </xf>
    <xf numFmtId="0" fontId="25" fillId="14" borderId="8" applyNumberFormat="0" applyFont="0" applyFill="0" applyBorder="0" applyAlignment="0" applyProtection="0">
      <alignment vertical="top" shrinkToFit="1"/>
    </xf>
    <xf numFmtId="4" fontId="25" fillId="15" borderId="8" applyNumberFormat="0" applyFont="0" applyFill="0" applyBorder="0" applyAlignment="0" applyProtection="0">
      <alignment horizontal="right" vertical="top" shrinkToFit="1"/>
      <protection locked="0"/>
    </xf>
    <xf numFmtId="0" fontId="25" fillId="14" borderId="9" applyNumberFormat="0" applyFont="0" applyFill="0" applyBorder="0" applyAlignment="0" applyProtection="0">
      <alignment vertical="top" shrinkToFit="1"/>
    </xf>
    <xf numFmtId="4" fontId="25" fillId="15" borderId="9" applyNumberFormat="0" applyFont="0" applyFill="0" applyBorder="0" applyAlignment="0" applyProtection="0">
      <alignment horizontal="right" vertical="top" shrinkToFit="1"/>
      <protection locked="0"/>
    </xf>
    <xf numFmtId="0" fontId="25" fillId="14" borderId="10" applyNumberFormat="0" applyFont="0" applyFill="0" applyBorder="0" applyAlignment="0" applyProtection="0">
      <alignment vertical="top" shrinkToFit="1"/>
    </xf>
    <xf numFmtId="4" fontId="25" fillId="15" borderId="10" applyNumberFormat="0" applyFont="0" applyFill="0" applyBorder="0" applyAlignment="0" applyProtection="0">
      <alignment horizontal="right" vertical="top" shrinkToFit="1"/>
      <protection locked="0"/>
    </xf>
    <xf numFmtId="172" fontId="25" fillId="15" borderId="9" applyNumberFormat="0" applyFont="0" applyFill="0" applyBorder="0" applyAlignment="0" applyProtection="0">
      <alignment horizontal="right" vertical="top" shrinkToFit="1"/>
      <protection locked="0"/>
    </xf>
    <xf numFmtId="172" fontId="25" fillId="15" borderId="8" applyNumberFormat="0" applyFont="0" applyFill="0" applyBorder="0" applyAlignment="0" applyProtection="0">
      <alignment horizontal="right" vertical="top" shrinkToFit="1"/>
      <protection locked="0"/>
    </xf>
    <xf numFmtId="164" fontId="25" fillId="15" borderId="7">
      <alignment horizontal="right" vertical="top" shrinkToFit="1"/>
      <protection locked="0"/>
    </xf>
    <xf numFmtId="166" fontId="25" fillId="15" borderId="7">
      <alignment horizontal="right" vertical="top" shrinkToFit="1"/>
      <protection locked="0"/>
    </xf>
    <xf numFmtId="172" fontId="25" fillId="15" borderId="10">
      <alignment horizontal="right" vertical="top" shrinkToFit="1"/>
      <protection locked="0"/>
    </xf>
    <xf numFmtId="166" fontId="25" fillId="15" borderId="9">
      <alignment horizontal="right" vertical="top" shrinkToFit="1"/>
      <protection locked="0"/>
    </xf>
    <xf numFmtId="0" fontId="25" fillId="14" borderId="11" applyNumberFormat="0" applyFont="0" applyFill="0" applyBorder="0" applyAlignment="0" applyProtection="0">
      <alignment horizontal="center" vertical="top" shrinkToFit="1"/>
    </xf>
    <xf numFmtId="0" fontId="25" fillId="14" borderId="12" applyNumberFormat="0" applyFont="0" applyFill="0" applyBorder="0" applyAlignment="0" applyProtection="0">
      <alignment horizontal="center" vertical="top" shrinkToFit="1"/>
    </xf>
    <xf numFmtId="0" fontId="25" fillId="14" borderId="7" applyNumberFormat="0" applyFont="0" applyFill="0" applyBorder="0" applyAlignment="0" applyProtection="0">
      <alignment horizontal="center" vertical="top" shrinkToFit="1"/>
    </xf>
    <xf numFmtId="164" fontId="24" fillId="14" borderId="13" applyNumberFormat="0" applyFont="0" applyFill="0" applyBorder="0" applyAlignment="0" applyProtection="0">
      <alignment horizontal="right" vertical="top" shrinkToFit="1"/>
    </xf>
    <xf numFmtId="164" fontId="25" fillId="14" borderId="8" applyNumberFormat="0" applyFont="0" applyFill="0" applyBorder="0" applyAlignment="0" applyProtection="0">
      <alignment horizontal="right" vertical="top" shrinkToFit="1"/>
    </xf>
    <xf numFmtId="0" fontId="25" fillId="14" borderId="12" applyNumberFormat="0" applyFont="0" applyFill="0" applyBorder="0" applyAlignment="0" applyProtection="0">
      <alignment vertical="top" shrinkToFit="1"/>
    </xf>
    <xf numFmtId="164" fontId="24" fillId="14" borderId="0" applyNumberFormat="0" applyFont="0" applyFill="0" applyBorder="0" applyAlignment="0" applyProtection="0">
      <alignment horizontal="right" vertical="top" shrinkToFit="1"/>
    </xf>
    <xf numFmtId="164" fontId="25" fillId="14" borderId="10" applyNumberFormat="0" applyFont="0" applyFill="0" applyBorder="0" applyAlignment="0" applyProtection="0">
      <alignment horizontal="right" vertical="top" shrinkToFit="1"/>
    </xf>
    <xf numFmtId="164" fontId="24" fillId="14" borderId="14" applyNumberFormat="0" applyFont="0" applyFill="0" applyBorder="0" applyAlignment="0" applyProtection="0">
      <alignment horizontal="right" vertical="top" shrinkToFit="1"/>
    </xf>
    <xf numFmtId="164" fontId="25" fillId="14" borderId="9" applyNumberFormat="0" applyFont="0" applyFill="0" applyBorder="0" applyAlignment="0" applyProtection="0">
      <alignment horizontal="right" vertical="top" shrinkToFit="1"/>
    </xf>
    <xf numFmtId="4" fontId="25" fillId="14" borderId="8" applyNumberFormat="0" applyFont="0" applyFill="0" applyBorder="0" applyAlignment="0" applyProtection="0">
      <alignment horizontal="right" vertical="top" shrinkToFit="1"/>
    </xf>
    <xf numFmtId="4" fontId="25" fillId="14" borderId="9" applyNumberFormat="0" applyFont="0" applyFill="0" applyBorder="0" applyAlignment="0" applyProtection="0">
      <alignment horizontal="right" vertical="top" shrinkToFit="1"/>
    </xf>
    <xf numFmtId="4" fontId="25" fillId="14" borderId="10" applyNumberFormat="0" applyFont="0" applyFill="0" applyBorder="0" applyAlignment="0" applyProtection="0">
      <alignment horizontal="right" vertical="top" shrinkToFit="1"/>
    </xf>
    <xf numFmtId="4" fontId="24" fillId="14" borderId="13" applyNumberFormat="0" applyFont="0" applyFill="0" applyBorder="0" applyAlignment="0" applyProtection="0">
      <alignment horizontal="right" vertical="top" shrinkToFit="1"/>
    </xf>
    <xf numFmtId="4" fontId="24" fillId="14" borderId="14" applyNumberFormat="0" applyFont="0" applyFill="0" applyBorder="0" applyAlignment="0" applyProtection="0">
      <alignment horizontal="right" vertical="top" shrinkToFit="1"/>
    </xf>
    <xf numFmtId="172" fontId="25" fillId="14" borderId="10">
      <alignment horizontal="right" vertical="top" shrinkToFit="1"/>
    </xf>
    <xf numFmtId="172" fontId="25" fillId="14" borderId="8">
      <alignment horizontal="right" vertical="top" shrinkToFit="1"/>
    </xf>
    <xf numFmtId="172" fontId="25" fillId="14" borderId="9" applyNumberFormat="0" applyFont="0" applyFill="0" applyBorder="0" applyAlignment="0" applyProtection="0">
      <alignment horizontal="right" vertical="top" shrinkToFit="1"/>
    </xf>
    <xf numFmtId="172" fontId="25" fillId="14" borderId="7">
      <alignment horizontal="right" vertical="top" shrinkToFit="1"/>
    </xf>
    <xf numFmtId="0" fontId="25" fillId="14" borderId="12" applyNumberFormat="0" applyFont="0" applyFill="0" applyBorder="0" applyAlignment="0" applyProtection="0">
      <alignment horizontal="left" vertical="top" shrinkToFit="1"/>
    </xf>
    <xf numFmtId="0" fontId="25" fillId="2" borderId="0" applyNumberFormat="0" applyFont="0" applyFill="0" applyBorder="0" applyAlignment="0" applyProtection="0">
      <alignment vertical="top" shrinkToFit="1"/>
    </xf>
    <xf numFmtId="0" fontId="27" fillId="2" borderId="0" applyNumberFormat="0" applyFont="0" applyFill="0" applyBorder="0" applyAlignment="0" applyProtection="0">
      <alignment vertical="top" shrinkToFit="1"/>
    </xf>
    <xf numFmtId="0" fontId="25" fillId="2" borderId="0" applyNumberFormat="0" applyFont="0" applyFill="0" applyBorder="0" applyAlignment="0" applyProtection="0">
      <alignment horizontal="right" vertical="top" shrinkToFit="1"/>
    </xf>
    <xf numFmtId="0" fontId="24" fillId="2" borderId="0" applyNumberFormat="0" applyFont="0" applyFill="0" applyBorder="0" applyAlignment="0" applyProtection="0">
      <alignment vertical="top" shrinkToFit="1"/>
    </xf>
    <xf numFmtId="0" fontId="27" fillId="14" borderId="12" applyNumberFormat="0" applyFont="0" applyFill="0" applyBorder="0" applyAlignment="0" applyProtection="0">
      <alignment vertical="top" shrinkToFit="1"/>
    </xf>
    <xf numFmtId="0" fontId="25" fillId="14" borderId="12" applyNumberFormat="0" applyFont="0" applyFill="0" applyBorder="0" applyAlignment="0" applyProtection="0">
      <alignment horizontal="right" vertical="top" shrinkToFit="1"/>
    </xf>
    <xf numFmtId="0" fontId="24" fillId="14" borderId="12" applyNumberFormat="0" applyFont="0" applyFill="0" applyBorder="0" applyAlignment="0" applyProtection="0">
      <alignment vertical="top" shrinkToFit="1"/>
    </xf>
    <xf numFmtId="168" fontId="24" fillId="14" borderId="12" applyNumberFormat="0" applyFont="0" applyFill="0" applyBorder="0" applyAlignment="0" applyProtection="0">
      <alignment horizontal="right" vertical="top" shrinkToFit="1"/>
    </xf>
    <xf numFmtId="168" fontId="25" fillId="14" borderId="7" applyNumberFormat="0" applyFont="0" applyFill="0" applyBorder="0" applyAlignment="0" applyProtection="0">
      <alignment horizontal="right" vertical="top" shrinkToFit="1"/>
    </xf>
    <xf numFmtId="4" fontId="24" fillId="14" borderId="15">
      <alignment horizontal="right" vertical="top" shrinkToFit="1"/>
    </xf>
    <xf numFmtId="167" fontId="24" fillId="14" borderId="15">
      <alignment horizontal="right" vertical="top" shrinkToFit="1"/>
    </xf>
    <xf numFmtId="4" fontId="24" fillId="14" borderId="12" applyNumberFormat="0" applyFont="0" applyFill="0" applyBorder="0" applyAlignment="0" applyProtection="0">
      <alignment horizontal="right" vertical="top" shrinkToFit="1"/>
    </xf>
    <xf numFmtId="4" fontId="25" fillId="14" borderId="7" applyNumberFormat="0" applyFont="0" applyFill="0" applyBorder="0" applyAlignment="0" applyProtection="0">
      <alignment horizontal="right" vertical="top" shrinkToFit="1"/>
    </xf>
    <xf numFmtId="0" fontId="25" fillId="14" borderId="16" applyNumberFormat="0" applyFont="0" applyFill="0" applyBorder="0" applyAlignment="0" applyProtection="0">
      <alignment horizontal="left" vertical="top" shrinkToFit="1"/>
    </xf>
    <xf numFmtId="168" fontId="24" fillId="15" borderId="16">
      <alignment vertical="top" shrinkToFit="1"/>
      <protection locked="0"/>
    </xf>
    <xf numFmtId="0" fontId="25" fillId="14" borderId="17" applyNumberFormat="0" applyFont="0" applyFill="0" applyBorder="0" applyAlignment="0" applyProtection="0">
      <alignment horizontal="left" vertical="top" shrinkToFit="1"/>
    </xf>
    <xf numFmtId="0" fontId="24" fillId="14" borderId="16" applyNumberFormat="0" applyFont="0" applyFill="0" applyBorder="0" applyAlignment="0" applyProtection="0">
      <alignment vertical="top" shrinkToFit="1"/>
    </xf>
    <xf numFmtId="0" fontId="24" fillId="15" borderId="16" applyNumberFormat="0" applyFont="0" applyFill="0" applyBorder="0" applyAlignment="0" applyProtection="0">
      <alignment vertical="top" shrinkToFit="1"/>
      <protection locked="0"/>
    </xf>
    <xf numFmtId="0" fontId="4" fillId="14" borderId="16" applyNumberFormat="0" applyFont="0" applyFill="0" applyBorder="0" applyAlignment="0" applyProtection="0">
      <alignment vertical="top" shrinkToFit="1"/>
    </xf>
    <xf numFmtId="0" fontId="4" fillId="15" borderId="16" applyNumberFormat="0" applyFont="0" applyFill="0" applyBorder="0" applyAlignment="0" applyProtection="0">
      <alignment vertical="top" shrinkToFit="1"/>
      <protection locked="0"/>
    </xf>
    <xf numFmtId="0" fontId="2" fillId="15" borderId="16" applyNumberFormat="0" applyFont="0" applyFill="0" applyBorder="0" applyAlignment="0" applyProtection="0">
      <alignment vertical="top" shrinkToFit="1"/>
      <protection locked="0"/>
    </xf>
    <xf numFmtId="0" fontId="3" fillId="15" borderId="16" applyNumberFormat="0" applyFont="0" applyFill="0" applyBorder="0" applyAlignment="0" applyProtection="0">
      <alignment vertical="top" shrinkToFit="1"/>
      <protection locked="0"/>
    </xf>
    <xf numFmtId="0" fontId="4" fillId="14" borderId="16" applyNumberFormat="0" applyFont="0" applyFill="0" applyBorder="0" applyAlignment="0" applyProtection="0">
      <alignment vertical="top" shrinkToFit="1"/>
    </xf>
    <xf numFmtId="0" fontId="4" fillId="15" borderId="16" applyNumberFormat="0" applyFont="0" applyFill="0" applyBorder="0" applyAlignment="0" applyProtection="0">
      <alignment vertical="top" shrinkToFit="1"/>
      <protection locked="0"/>
    </xf>
    <xf numFmtId="0" fontId="2" fillId="15" borderId="16" applyNumberFormat="0" applyFont="0" applyFill="0" applyBorder="0" applyAlignment="0" applyProtection="0">
      <alignment vertical="top" shrinkToFit="1"/>
      <protection locked="0"/>
    </xf>
    <xf numFmtId="0" fontId="3" fillId="15" borderId="16" applyNumberFormat="0" applyFont="0" applyFill="0" applyBorder="0" applyAlignment="0" applyProtection="0">
      <alignment vertical="top" shrinkToFit="1"/>
      <protection locked="0"/>
    </xf>
    <xf numFmtId="0" fontId="4" fillId="2" borderId="16" applyNumberFormat="0" applyFont="0" applyFill="0" applyBorder="0" applyAlignment="0" applyProtection="0">
      <alignment vertical="top" shrinkToFit="1"/>
      <protection locked="0"/>
    </xf>
    <xf numFmtId="0" fontId="2" fillId="2" borderId="16" applyNumberFormat="0" applyFont="0" applyFill="0" applyBorder="0" applyAlignment="0" applyProtection="0">
      <alignment vertical="top" shrinkToFit="1"/>
      <protection locked="0"/>
    </xf>
    <xf numFmtId="0" fontId="3" fillId="2" borderId="16" applyNumberFormat="0" applyFont="0" applyFill="0" applyBorder="0" applyAlignment="0" applyProtection="0">
      <alignment vertical="top" shrinkToFit="1"/>
      <protection locked="0"/>
    </xf>
    <xf numFmtId="0" fontId="2" fillId="12" borderId="8" applyNumberFormat="0" applyFont="0" applyFill="0" applyBorder="0" applyAlignment="0" applyProtection="0">
      <alignment horizontal="left" vertical="top"/>
    </xf>
    <xf numFmtId="0" fontId="3" fillId="2" borderId="0" applyNumberFormat="0" applyFont="0" applyFill="0" applyBorder="0" applyAlignment="0" applyProtection="0">
      <alignment horizontal="left" vertical="top"/>
    </xf>
    <xf numFmtId="0" fontId="3" fillId="12" borderId="0" applyNumberFormat="0" applyFont="0" applyFill="0" applyBorder="0" applyAlignment="0" applyProtection="0">
      <alignment horizontal="left" vertical="top"/>
    </xf>
    <xf numFmtId="0" fontId="3" fillId="12" borderId="10" applyNumberFormat="0" applyFont="0" applyFill="0" applyBorder="0" applyAlignment="0" applyProtection="0">
      <alignment horizontal="left" vertical="top"/>
    </xf>
    <xf numFmtId="0" fontId="2" fillId="12" borderId="0" applyNumberFormat="0" applyFont="0" applyFill="0" applyBorder="0" applyAlignment="0" applyProtection="0">
      <alignment horizontal="left" vertical="top"/>
    </xf>
    <xf numFmtId="0" fontId="2" fillId="12" borderId="10" applyNumberFormat="0" applyFont="0" applyFill="0" applyBorder="0" applyAlignment="0" applyProtection="0">
      <alignment horizontal="left" vertical="top"/>
    </xf>
    <xf numFmtId="4" fontId="2" fillId="12" borderId="13" applyNumberFormat="0" applyFont="0" applyFill="0" applyBorder="0" applyAlignment="0" applyProtection="0">
      <alignment horizontal="right" vertical="top"/>
    </xf>
    <xf numFmtId="4" fontId="2" fillId="12" borderId="18" applyNumberFormat="0" applyFont="0" applyFill="0" applyBorder="0" applyAlignment="0" applyProtection="0">
      <alignment horizontal="right" vertical="top"/>
    </xf>
    <xf numFmtId="4" fontId="3" fillId="2" borderId="0" applyNumberFormat="0" applyFont="0" applyFill="0" applyBorder="0" applyAlignment="0" applyProtection="0">
      <alignment horizontal="right" vertical="top"/>
    </xf>
    <xf numFmtId="4" fontId="3" fillId="2" borderId="19" applyNumberFormat="0" applyFont="0" applyFill="0" applyBorder="0" applyAlignment="0" applyProtection="0">
      <alignment horizontal="right" vertical="top"/>
    </xf>
    <xf numFmtId="169" fontId="4" fillId="12" borderId="0" applyNumberFormat="0" applyFont="0" applyFill="0" applyBorder="0" applyAlignment="0" applyProtection="0">
      <alignment horizontal="right" vertical="top"/>
    </xf>
    <xf numFmtId="170" fontId="2" fillId="2" borderId="0" applyNumberFormat="0" applyFont="0" applyFill="0" applyBorder="0" applyAlignment="0" applyProtection="0">
      <alignment horizontal="right" vertical="top"/>
    </xf>
    <xf numFmtId="170" fontId="2" fillId="12" borderId="10" applyNumberFormat="0" applyFont="0" applyFill="0" applyBorder="0" applyAlignment="0" applyProtection="0">
      <alignment horizontal="right" vertical="top"/>
    </xf>
    <xf numFmtId="165" fontId="2" fillId="2" borderId="0" applyNumberFormat="0" applyFont="0" applyFill="0" applyBorder="0" applyAlignment="0" applyProtection="0">
      <alignment horizontal="right" vertical="top"/>
    </xf>
    <xf numFmtId="169" fontId="2" fillId="2" borderId="0" applyNumberFormat="0" applyFont="0" applyFill="0" applyBorder="0" applyAlignment="0" applyProtection="0">
      <alignment horizontal="right" vertical="top"/>
    </xf>
    <xf numFmtId="4" fontId="3" fillId="12" borderId="0" applyNumberFormat="0" applyFont="0" applyFill="0" applyBorder="0" applyAlignment="0" applyProtection="0">
      <alignment horizontal="right" vertical="top"/>
    </xf>
    <xf numFmtId="4" fontId="3" fillId="12" borderId="19" applyNumberFormat="0" applyFont="0" applyFill="0" applyBorder="0" applyAlignment="0" applyProtection="0">
      <alignment horizontal="right" vertical="top"/>
    </xf>
    <xf numFmtId="4" fontId="4" fillId="2" borderId="0" applyNumberFormat="0" applyFont="0" applyFill="0" applyBorder="0" applyAlignment="0" applyProtection="0">
      <alignment horizontal="right" vertical="top"/>
    </xf>
    <xf numFmtId="4" fontId="4" fillId="2" borderId="19" applyNumberFormat="0" applyFont="0" applyFill="0" applyBorder="0" applyAlignment="0" applyProtection="0">
      <alignment horizontal="right" vertical="top"/>
    </xf>
    <xf numFmtId="166" fontId="2" fillId="12" borderId="12" applyProtection="0">
      <alignment horizontal="right" vertical="top"/>
    </xf>
    <xf numFmtId="166" fontId="2" fillId="12" borderId="7" applyNumberFormat="0" applyFont="0" applyFill="0" applyBorder="0" applyAlignment="0" applyProtection="0">
      <alignment horizontal="right" vertical="top"/>
    </xf>
    <xf numFmtId="166" fontId="2" fillId="2" borderId="12" applyNumberFormat="0" applyFont="0" applyFill="0" applyBorder="0" applyAlignment="0" applyProtection="0">
      <alignment horizontal="right" vertical="top"/>
    </xf>
    <xf numFmtId="166" fontId="2" fillId="12" borderId="13" applyNumberFormat="0" applyFont="0" applyFill="0" applyBorder="0" applyAlignment="0" applyProtection="0">
      <alignment horizontal="right" vertical="top"/>
    </xf>
    <xf numFmtId="166" fontId="2" fillId="12" borderId="8" applyNumberFormat="0" applyFont="0" applyFill="0" applyBorder="0" applyAlignment="0" applyProtection="0">
      <alignment horizontal="right" vertical="top"/>
    </xf>
    <xf numFmtId="4" fontId="2" fillId="12" borderId="0" applyNumberFormat="0" applyFont="0" applyFill="0" applyBorder="0" applyAlignment="0" applyProtection="0">
      <alignment horizontal="right" vertical="top"/>
    </xf>
    <xf numFmtId="4" fontId="2" fillId="12" borderId="10" applyNumberFormat="0" applyFont="0" applyFill="0" applyBorder="0" applyAlignment="0" applyProtection="0">
      <alignment horizontal="right" vertical="top"/>
    </xf>
    <xf numFmtId="166" fontId="2" fillId="12" borderId="14" applyNumberFormat="0" applyFont="0" applyFill="0" applyBorder="0" applyAlignment="0" applyProtection="0">
      <alignment horizontal="right" vertical="top"/>
    </xf>
    <xf numFmtId="3" fontId="2" fillId="12" borderId="13" applyNumberFormat="0" applyFont="0" applyFill="0" applyBorder="0" applyAlignment="0" applyProtection="0">
      <alignment horizontal="right" vertical="top"/>
    </xf>
    <xf numFmtId="3" fontId="2" fillId="12" borderId="8" applyNumberFormat="0" applyFont="0" applyFill="0" applyBorder="0" applyAlignment="0" applyProtection="0">
      <alignment horizontal="right" vertical="top"/>
    </xf>
    <xf numFmtId="3" fontId="2" fillId="2" borderId="13" applyNumberFormat="0" applyFont="0" applyFill="0" applyBorder="0" applyAlignment="0" applyProtection="0">
      <alignment horizontal="right" vertical="top"/>
    </xf>
    <xf numFmtId="3" fontId="4" fillId="12" borderId="0" applyNumberFormat="0" applyFont="0" applyFill="0" applyBorder="0" applyAlignment="0" applyProtection="0">
      <alignment horizontal="right" vertical="top"/>
    </xf>
    <xf numFmtId="171" fontId="2" fillId="2" borderId="0" applyNumberFormat="0" applyFont="0" applyFill="0" applyBorder="0" applyAlignment="0" applyProtection="0">
      <alignment horizontal="right" vertical="top"/>
    </xf>
    <xf numFmtId="164" fontId="2" fillId="12" borderId="0" applyNumberFormat="0" applyFont="0" applyFill="0" applyBorder="0" applyAlignment="0" applyProtection="0">
      <alignment horizontal="right" vertical="top"/>
    </xf>
    <xf numFmtId="164" fontId="2" fillId="12" borderId="10" applyNumberFormat="0" applyFont="0" applyFill="0" applyBorder="0" applyAlignment="0" applyProtection="0">
      <alignment horizontal="right" vertical="top"/>
    </xf>
    <xf numFmtId="164" fontId="3" fillId="2" borderId="0" applyNumberFormat="0" applyFont="0" applyFill="0" applyBorder="0" applyAlignment="0" applyProtection="0">
      <alignment horizontal="right" vertical="top"/>
    </xf>
    <xf numFmtId="164" fontId="3" fillId="12" borderId="10" applyNumberFormat="0" applyFont="0" applyFill="0" applyBorder="0" applyAlignment="0" applyProtection="0">
      <alignment horizontal="right" vertical="top"/>
    </xf>
    <xf numFmtId="0" fontId="2" fillId="2" borderId="8" applyProtection="0">
      <alignment horizontal="left" vertical="top"/>
    </xf>
    <xf numFmtId="3" fontId="3" fillId="2" borderId="0" applyNumberFormat="0" applyFont="0" applyFill="0" applyBorder="0" applyAlignment="0" applyProtection="0">
      <alignment horizontal="right" vertical="top"/>
    </xf>
    <xf numFmtId="3" fontId="2" fillId="12" borderId="14" applyNumberFormat="0" applyFont="0" applyFill="0" applyBorder="0" applyAlignment="0" applyProtection="0">
      <alignment horizontal="right" vertical="top"/>
    </xf>
    <xf numFmtId="3" fontId="2" fillId="12" borderId="9" applyNumberFormat="0" applyFont="0" applyFill="0" applyBorder="0" applyAlignment="0" applyProtection="0">
      <alignment horizontal="right" vertical="top"/>
    </xf>
    <xf numFmtId="171" fontId="3" fillId="2" borderId="0" applyNumberFormat="0" applyFont="0" applyFill="0" applyBorder="0" applyAlignment="0" applyProtection="0">
      <alignment horizontal="right" vertical="top"/>
    </xf>
    <xf numFmtId="164" fontId="2" fillId="2" borderId="0" applyNumberFormat="0" applyFont="0" applyFill="0" applyBorder="0" applyAlignment="0" applyProtection="0">
      <alignment horizontal="right" vertical="top"/>
    </xf>
    <xf numFmtId="164" fontId="2" fillId="2" borderId="14" applyNumberFormat="0" applyFont="0" applyFill="0" applyBorder="0" applyAlignment="0" applyProtection="0">
      <alignment horizontal="right" vertical="top"/>
    </xf>
    <xf numFmtId="164" fontId="2" fillId="12" borderId="9" applyNumberFormat="0" applyFont="0" applyFill="0" applyBorder="0" applyAlignment="0" applyProtection="0">
      <alignment horizontal="right" vertical="top"/>
    </xf>
    <xf numFmtId="164" fontId="2" fillId="2" borderId="12" applyNumberFormat="0" applyFont="0" applyFill="0" applyBorder="0" applyAlignment="0" applyProtection="0">
      <alignment horizontal="right" vertical="top"/>
    </xf>
    <xf numFmtId="164" fontId="2" fillId="12" borderId="7" applyNumberFormat="0" applyFont="0" applyFill="0" applyBorder="0" applyAlignment="0" applyProtection="0">
      <alignment horizontal="right" vertical="top"/>
    </xf>
    <xf numFmtId="166" fontId="2" fillId="2" borderId="13" applyProtection="0">
      <alignment horizontal="right" vertical="top"/>
    </xf>
    <xf numFmtId="164" fontId="2" fillId="12" borderId="13" applyNumberFormat="0" applyFont="0" applyFill="0" applyBorder="0" applyAlignment="0" applyProtection="0">
      <alignment horizontal="right" vertical="top"/>
    </xf>
    <xf numFmtId="164" fontId="2" fillId="12" borderId="8" applyNumberFormat="0" applyFont="0" applyFill="0" applyBorder="0" applyAlignment="0" applyProtection="0">
      <alignment horizontal="right" vertical="top"/>
    </xf>
    <xf numFmtId="164" fontId="4" fillId="12" borderId="0" applyNumberFormat="0" applyFont="0" applyFill="0" applyBorder="0" applyAlignment="0" applyProtection="0">
      <alignment horizontal="right" vertical="top"/>
    </xf>
    <xf numFmtId="164" fontId="2" fillId="12" borderId="12" applyNumberFormat="0" applyFont="0" applyFill="0" applyBorder="0" applyAlignment="0" applyProtection="0">
      <alignment horizontal="right" vertical="top"/>
    </xf>
    <xf numFmtId="164" fontId="3" fillId="12" borderId="0" applyNumberFormat="0" applyFont="0" applyFill="0" applyBorder="0" applyAlignment="0" applyProtection="0">
      <alignment horizontal="right" vertical="top"/>
    </xf>
    <xf numFmtId="164" fontId="2" fillId="12" borderId="14" applyNumberFormat="0" applyFont="0" applyFill="0" applyBorder="0" applyAlignment="0" applyProtection="0">
      <alignment horizontal="right" vertical="top"/>
    </xf>
    <xf numFmtId="164" fontId="2" fillId="16" borderId="14" applyNumberFormat="0" applyFont="0" applyFill="0" applyBorder="0" applyAlignment="0" applyProtection="0">
      <alignment horizontal="right" vertical="top"/>
    </xf>
    <xf numFmtId="164" fontId="4" fillId="16" borderId="0" applyNumberFormat="0" applyFont="0" applyFill="0" applyBorder="0" applyAlignment="0" applyProtection="0">
      <alignment horizontal="right" vertical="top"/>
    </xf>
    <xf numFmtId="0" fontId="4" fillId="14" borderId="0" applyNumberFormat="0" applyFont="0" applyFill="0" applyBorder="0" applyAlignment="0" applyProtection="0">
      <alignment vertical="top"/>
    </xf>
    <xf numFmtId="4" fontId="2" fillId="12" borderId="8" applyNumberFormat="0" applyFont="0" applyFill="0" applyBorder="0" applyAlignment="0" applyProtection="0">
      <alignment horizontal="right" vertical="top"/>
    </xf>
    <xf numFmtId="4" fontId="2" fillId="12" borderId="14" applyNumberFormat="0" applyFont="0" applyFill="0" applyBorder="0" applyAlignment="0" applyProtection="0">
      <alignment horizontal="right" vertical="top"/>
    </xf>
    <xf numFmtId="4" fontId="2" fillId="12" borderId="9" applyNumberFormat="0" applyFont="0" applyFill="0" applyBorder="0" applyAlignment="0" applyProtection="0">
      <alignment horizontal="right" vertical="top"/>
    </xf>
    <xf numFmtId="166" fontId="4" fillId="12" borderId="0" applyNumberFormat="0" applyFont="0" applyFill="0" applyBorder="0" applyAlignment="0" applyProtection="0">
      <alignment horizontal="right" vertical="top"/>
    </xf>
    <xf numFmtId="172" fontId="4" fillId="12" borderId="0" applyNumberFormat="0" applyFont="0" applyFill="0" applyBorder="0" applyAlignment="0" applyProtection="0">
      <alignment horizontal="right" vertical="top"/>
    </xf>
    <xf numFmtId="172" fontId="2" fillId="12" borderId="14" applyNumberFormat="0" applyFont="0" applyFill="0" applyBorder="0" applyAlignment="0" applyProtection="0">
      <alignment horizontal="right" vertical="top"/>
    </xf>
    <xf numFmtId="172" fontId="2" fillId="12" borderId="9" applyNumberFormat="0" applyFont="0" applyFill="0" applyBorder="0" applyAlignment="0" applyProtection="0">
      <alignment horizontal="right" vertical="top"/>
    </xf>
    <xf numFmtId="169" fontId="4" fillId="16" borderId="0" applyNumberFormat="0" applyFont="0" applyFill="0" applyBorder="0" applyAlignment="0" applyProtection="0">
      <alignment horizontal="right" vertical="top"/>
    </xf>
    <xf numFmtId="166" fontId="4" fillId="16" borderId="0" applyNumberFormat="0" applyFont="0" applyFill="0" applyBorder="0" applyAlignment="0" applyProtection="0">
      <alignment horizontal="right" vertical="top"/>
    </xf>
    <xf numFmtId="171" fontId="4" fillId="16" borderId="0" applyNumberFormat="0" applyFont="0" applyFill="0" applyBorder="0" applyAlignment="0" applyProtection="0">
      <alignment horizontal="right" vertical="top"/>
    </xf>
    <xf numFmtId="166" fontId="2" fillId="16" borderId="14" applyNumberFormat="0" applyFont="0" applyFill="0" applyBorder="0" applyAlignment="0" applyProtection="0">
      <alignment horizontal="right" vertical="top"/>
    </xf>
    <xf numFmtId="3" fontId="4" fillId="16" borderId="0" applyNumberFormat="0" applyFont="0" applyFill="0" applyBorder="0" applyAlignment="0" applyProtection="0">
      <alignment horizontal="right" vertical="top"/>
    </xf>
    <xf numFmtId="172" fontId="2" fillId="12" borderId="13" applyNumberFormat="0" applyFont="0" applyFill="0" applyBorder="0" applyAlignment="0" applyProtection="0">
      <alignment horizontal="right" vertical="top"/>
    </xf>
    <xf numFmtId="172" fontId="2" fillId="12" borderId="8" applyNumberFormat="0" applyFont="0" applyFill="0" applyBorder="0" applyAlignment="0" applyProtection="0">
      <alignment horizontal="right" vertical="top"/>
    </xf>
    <xf numFmtId="172" fontId="4" fillId="16" borderId="0" applyNumberFormat="0" applyFont="0" applyFill="0" applyBorder="0" applyAlignment="0" applyProtection="0">
      <alignment horizontal="right" vertical="top"/>
    </xf>
    <xf numFmtId="0" fontId="3" fillId="15" borderId="9" applyNumberFormat="0" applyFont="0" applyFill="0" applyBorder="0" applyAlignment="0" applyProtection="0">
      <alignment vertical="top"/>
    </xf>
    <xf numFmtId="164" fontId="3" fillId="12" borderId="14" applyNumberFormat="0" applyFont="0" applyFill="0" applyBorder="0" applyAlignment="0" applyProtection="0">
      <alignment horizontal="right" vertical="top"/>
    </xf>
    <xf numFmtId="164" fontId="3" fillId="12" borderId="9" applyNumberFormat="0" applyFont="0" applyFill="0" applyBorder="0" applyAlignment="0" applyProtection="0">
      <alignment horizontal="right" vertical="top"/>
    </xf>
    <xf numFmtId="173" fontId="2" fillId="12" borderId="0" applyNumberFormat="0" applyFont="0" applyFill="0" applyBorder="0" applyAlignment="0" applyProtection="0">
      <alignment horizontal="right" vertical="top"/>
    </xf>
    <xf numFmtId="173" fontId="2" fillId="12" borderId="10" applyNumberFormat="0" applyFont="0" applyFill="0" applyBorder="0" applyAlignment="0" applyProtection="0">
      <alignment horizontal="right" vertical="top"/>
    </xf>
    <xf numFmtId="173" fontId="3" fillId="12" borderId="0" applyNumberFormat="0" applyFont="0" applyFill="0" applyBorder="0" applyAlignment="0" applyProtection="0">
      <alignment horizontal="right" vertical="top"/>
    </xf>
    <xf numFmtId="173" fontId="3" fillId="12" borderId="10" applyNumberFormat="0" applyFont="0" applyFill="0" applyBorder="0" applyAlignment="0" applyProtection="0">
      <alignment horizontal="right" vertical="top"/>
    </xf>
    <xf numFmtId="173" fontId="2" fillId="12" borderId="14" applyNumberFormat="0" applyFont="0" applyFill="0" applyBorder="0" applyAlignment="0" applyProtection="0">
      <alignment horizontal="right" vertical="top"/>
    </xf>
    <xf numFmtId="173" fontId="2" fillId="12" borderId="9" applyNumberFormat="0" applyFont="0" applyFill="0" applyBorder="0" applyAlignment="0" applyProtection="0">
      <alignment horizontal="right" vertical="top"/>
    </xf>
    <xf numFmtId="0" fontId="3" fillId="16" borderId="0" applyNumberFormat="0" applyFont="0" applyFill="0" applyBorder="0" applyAlignment="0" applyProtection="0">
      <alignment horizontal="left" vertical="top"/>
    </xf>
    <xf numFmtId="4" fontId="3" fillId="16" borderId="0" applyNumberFormat="0" applyFont="0" applyFill="0" applyBorder="0" applyAlignment="0" applyProtection="0">
      <alignment horizontal="right" vertical="top"/>
    </xf>
    <xf numFmtId="4" fontId="3" fillId="16" borderId="19" applyNumberFormat="0" applyFont="0" applyFill="0" applyBorder="0" applyAlignment="0" applyProtection="0">
      <alignment horizontal="right" vertical="top"/>
    </xf>
    <xf numFmtId="4" fontId="3" fillId="16" borderId="14" applyNumberFormat="0" applyFont="0" applyFill="0" applyBorder="0" applyAlignment="0" applyProtection="0">
      <alignment horizontal="right" vertical="top"/>
    </xf>
    <xf numFmtId="4" fontId="3" fillId="16" borderId="20" applyProtection="0">
      <alignment horizontal="right" vertical="top"/>
    </xf>
    <xf numFmtId="170" fontId="2" fillId="16" borderId="0" applyNumberFormat="0" applyFont="0" applyFill="0" applyBorder="0" applyAlignment="0" applyProtection="0">
      <alignment horizontal="right" vertical="top"/>
    </xf>
    <xf numFmtId="165" fontId="2" fillId="16" borderId="0" applyNumberFormat="0" applyFont="0" applyFill="0" applyBorder="0" applyAlignment="0" applyProtection="0">
      <alignment horizontal="right" vertical="top"/>
    </xf>
    <xf numFmtId="169" fontId="2" fillId="16" borderId="0" applyNumberFormat="0" applyFont="0" applyFill="0" applyBorder="0" applyAlignment="0" applyProtection="0">
      <alignment horizontal="right" vertical="top"/>
    </xf>
    <xf numFmtId="169" fontId="2" fillId="16" borderId="14" applyNumberFormat="0" applyFont="0" applyFill="0" applyBorder="0" applyAlignment="0" applyProtection="0">
      <alignment horizontal="right" vertical="top"/>
    </xf>
    <xf numFmtId="4" fontId="4" fillId="16" borderId="0" applyNumberFormat="0" applyFont="0" applyFill="0" applyBorder="0" applyAlignment="0" applyProtection="0">
      <alignment horizontal="right" vertical="top"/>
    </xf>
    <xf numFmtId="4" fontId="4" fillId="16" borderId="19" applyNumberFormat="0" applyFont="0" applyFill="0" applyBorder="0" applyAlignment="0" applyProtection="0">
      <alignment horizontal="right" vertical="top"/>
    </xf>
    <xf numFmtId="4" fontId="3" fillId="12" borderId="10" applyNumberFormat="0" applyFont="0" applyFill="0" applyBorder="0" applyAlignment="0" applyProtection="0">
      <alignment horizontal="right" vertical="top"/>
    </xf>
    <xf numFmtId="4" fontId="4" fillId="12" borderId="0" applyNumberFormat="0" applyFont="0" applyFill="0" applyBorder="0" applyAlignment="0" applyProtection="0">
      <alignment horizontal="right" vertical="top"/>
    </xf>
    <xf numFmtId="165" fontId="4" fillId="16" borderId="0" applyNumberFormat="0" applyFont="0" applyFill="0" applyBorder="0" applyAlignment="0" applyProtection="0">
      <alignment horizontal="right" vertical="top"/>
    </xf>
    <xf numFmtId="166" fontId="2" fillId="16" borderId="0" applyNumberFormat="0" applyFont="0" applyFill="0" applyBorder="0" applyAlignment="0" applyProtection="0">
      <alignment horizontal="right" vertical="top"/>
    </xf>
    <xf numFmtId="166" fontId="3" fillId="16" borderId="0" applyNumberFormat="0" applyFont="0" applyFill="0" applyBorder="0" applyAlignment="0" applyProtection="0">
      <alignment horizontal="right" vertical="top"/>
    </xf>
    <xf numFmtId="171" fontId="4" fillId="16" borderId="19" applyNumberFormat="0" applyFont="0" applyFill="0" applyBorder="0" applyAlignment="0" applyProtection="0">
      <alignment horizontal="right" vertical="top"/>
    </xf>
    <xf numFmtId="171" fontId="3" fillId="12" borderId="14" applyNumberFormat="0" applyFont="0" applyFill="0" applyBorder="0" applyAlignment="0" applyProtection="0">
      <alignment horizontal="right" vertical="top"/>
    </xf>
    <xf numFmtId="171" fontId="3" fillId="12" borderId="9" applyProtection="0">
      <alignment horizontal="right" vertical="top"/>
    </xf>
    <xf numFmtId="164" fontId="4" fillId="12" borderId="13" applyNumberFormat="0" applyFont="0" applyFill="0" applyBorder="0" applyAlignment="0" applyProtection="0">
      <alignment horizontal="right" vertical="top"/>
    </xf>
    <xf numFmtId="166" fontId="4" fillId="12" borderId="14" applyNumberFormat="0" applyFont="0" applyFill="0" applyBorder="0" applyAlignment="0" applyProtection="0">
      <alignment horizontal="right" vertical="top"/>
    </xf>
    <xf numFmtId="164" fontId="4" fillId="12" borderId="14" applyNumberFormat="0" applyFont="0" applyFill="0" applyBorder="0" applyAlignment="0" applyProtection="0">
      <alignment horizontal="right" vertical="top"/>
    </xf>
    <xf numFmtId="3" fontId="2" fillId="16" borderId="0" applyNumberFormat="0" applyFont="0" applyFill="0" applyBorder="0" applyAlignment="0" applyProtection="0">
      <alignment horizontal="right" vertical="top"/>
    </xf>
    <xf numFmtId="171" fontId="2" fillId="16" borderId="0" applyNumberFormat="0" applyFont="0" applyFill="0" applyBorder="0" applyAlignment="0" applyProtection="0">
      <alignment horizontal="right" vertical="top"/>
    </xf>
    <xf numFmtId="0" fontId="2" fillId="16" borderId="8" applyProtection="0">
      <alignment horizontal="left" vertical="top"/>
    </xf>
    <xf numFmtId="164" fontId="3" fillId="16" borderId="0" applyNumberFormat="0" applyFont="0" applyFill="0" applyBorder="0" applyAlignment="0" applyProtection="0">
      <alignment horizontal="right" vertical="top"/>
    </xf>
    <xf numFmtId="3" fontId="3" fillId="16" borderId="0" applyNumberFormat="0" applyFont="0" applyFill="0" applyBorder="0" applyAlignment="0" applyProtection="0">
      <alignment horizontal="right" vertical="top"/>
    </xf>
    <xf numFmtId="164" fontId="2" fillId="16" borderId="13" applyNumberFormat="0" applyFont="0" applyFill="0" applyBorder="0" applyAlignment="0" applyProtection="0">
      <alignment horizontal="right" vertical="top"/>
    </xf>
    <xf numFmtId="164" fontId="2" fillId="16" borderId="0" applyNumberFormat="0" applyFont="0" applyFill="0" applyBorder="0" applyAlignment="0" applyProtection="0">
      <alignment horizontal="right" vertical="top"/>
    </xf>
    <xf numFmtId="164" fontId="4" fillId="12" borderId="12" applyNumberFormat="0" applyFont="0" applyFill="0" applyBorder="0" applyAlignment="0" applyProtection="0">
      <alignment horizontal="right" vertical="top"/>
    </xf>
    <xf numFmtId="166" fontId="4" fillId="16" borderId="14" applyProtection="0">
      <alignment horizontal="right" vertical="top"/>
    </xf>
    <xf numFmtId="166" fontId="4" fillId="12" borderId="13" applyNumberFormat="0" applyFont="0" applyFill="0" applyBorder="0" applyAlignment="0" applyProtection="0">
      <alignment horizontal="right" vertical="top"/>
    </xf>
    <xf numFmtId="4" fontId="2" fillId="12" borderId="12" applyNumberFormat="0" applyFont="0" applyFill="0" applyBorder="0" applyAlignment="0" applyProtection="0">
      <alignment horizontal="right" vertical="top"/>
    </xf>
    <xf numFmtId="4" fontId="2" fillId="12" borderId="7" applyNumberFormat="0" applyFont="0" applyFill="0" applyBorder="0" applyAlignment="0" applyProtection="0">
      <alignment horizontal="right" vertical="top"/>
    </xf>
    <xf numFmtId="0" fontId="2" fillId="5" borderId="11" applyNumberFormat="0" applyFont="0" applyFill="0" applyBorder="0" applyAlignment="0" applyProtection="0">
      <alignment vertical="top"/>
    </xf>
    <xf numFmtId="165" fontId="2" fillId="12" borderId="12" applyNumberFormat="0" applyFont="0" applyFill="0" applyBorder="0" applyAlignment="0" applyProtection="0">
      <alignment horizontal="right" vertical="top"/>
    </xf>
    <xf numFmtId="165" fontId="2" fillId="12" borderId="7" applyNumberFormat="0" applyFont="0" applyFill="0" applyBorder="0" applyAlignment="0" applyProtection="0">
      <alignment horizontal="right" vertical="top"/>
    </xf>
    <xf numFmtId="165" fontId="3" fillId="12" borderId="14" applyNumberFormat="0" applyFont="0" applyFill="0" applyBorder="0" applyAlignment="0" applyProtection="0">
      <alignment horizontal="right" vertical="top"/>
    </xf>
    <xf numFmtId="165" fontId="3" fillId="12" borderId="9" applyNumberFormat="0" applyFont="0" applyFill="0" applyBorder="0" applyAlignment="0" applyProtection="0">
      <alignment horizontal="right" vertical="top"/>
    </xf>
    <xf numFmtId="165" fontId="2" fillId="12" borderId="14" applyNumberFormat="0" applyFont="0" applyFill="0" applyBorder="0" applyAlignment="0" applyProtection="0">
      <alignment horizontal="right" vertical="top"/>
    </xf>
    <xf numFmtId="165" fontId="2" fillId="12" borderId="9" applyNumberFormat="0" applyFont="0" applyFill="0" applyBorder="0" applyAlignment="0" applyProtection="0">
      <alignment horizontal="right" vertical="top"/>
    </xf>
    <xf numFmtId="173" fontId="2" fillId="12" borderId="13" applyNumberFormat="0" applyFont="0" applyFill="0" applyBorder="0" applyAlignment="0" applyProtection="0">
      <alignment horizontal="right" vertical="top"/>
    </xf>
    <xf numFmtId="173" fontId="2" fillId="12" borderId="8" applyNumberFormat="0" applyFont="0" applyFill="0" applyBorder="0" applyAlignment="0" applyProtection="0">
      <alignment horizontal="right" vertical="top"/>
    </xf>
    <xf numFmtId="173" fontId="2" fillId="12" borderId="12" applyNumberFormat="0" applyFont="0" applyFill="0" applyBorder="0" applyAlignment="0" applyProtection="0">
      <alignment horizontal="right" vertical="top"/>
    </xf>
    <xf numFmtId="173" fontId="2" fillId="12" borderId="7" applyNumberFormat="0" applyFont="0" applyFill="0" applyBorder="0" applyAlignment="0" applyProtection="0">
      <alignment horizontal="right" vertical="top"/>
    </xf>
    <xf numFmtId="0" fontId="18" fillId="4" borderId="0" applyNumberFormat="0" applyBorder="0" applyAlignment="0" applyProtection="0"/>
    <xf numFmtId="0" fontId="1" fillId="0" borderId="21">
      <alignment vertical="center"/>
    </xf>
    <xf numFmtId="0" fontId="1" fillId="0" borderId="26">
      <alignment vertical="center"/>
    </xf>
    <xf numFmtId="0" fontId="1" fillId="4" borderId="22" applyNumberFormat="0" applyFont="0" applyAlignment="0" applyProtection="0"/>
    <xf numFmtId="0" fontId="19" fillId="5" borderId="23" applyNumberFormat="0" applyAlignment="0" applyProtection="0"/>
    <xf numFmtId="0" fontId="20" fillId="0" borderId="0" applyNumberFormat="0" applyFill="0" applyBorder="0" applyAlignment="0" applyProtection="0"/>
    <xf numFmtId="0" fontId="21" fillId="0" borderId="24" applyNumberFormat="0" applyFill="0" applyAlignment="0" applyProtection="0"/>
    <xf numFmtId="0" fontId="22" fillId="0" borderId="0" applyNumberFormat="0" applyFill="0" applyBorder="0" applyAlignment="0" applyProtection="0"/>
  </cellStyleXfs>
  <cellXfs count="113">
    <xf numFmtId="0" fontId="0" fillId="0" borderId="0" xfId="0">
      <alignment vertical="center"/>
    </xf>
    <xf numFmtId="0" fontId="5" fillId="0" borderId="0" xfId="0" applyFont="1">
      <alignment vertical="center"/>
    </xf>
    <xf numFmtId="0" fontId="24" fillId="14" borderId="0" xfId="38">
      <alignment vertical="top" shrinkToFit="1"/>
    </xf>
    <xf numFmtId="0" fontId="26" fillId="14" borderId="0" xfId="41">
      <alignment vertical="top" shrinkToFit="1"/>
    </xf>
    <xf numFmtId="168" fontId="0" fillId="0" borderId="0" xfId="0" applyNumberFormat="1">
      <alignment vertical="center"/>
    </xf>
    <xf numFmtId="0" fontId="25" fillId="14" borderId="7" xfId="39">
      <alignment vertical="top" shrinkToFit="1"/>
    </xf>
    <xf numFmtId="0" fontId="25" fillId="15" borderId="7" xfId="40">
      <alignment horizontal="left" vertical="top" shrinkToFit="1"/>
      <protection locked="0"/>
    </xf>
    <xf numFmtId="0" fontId="25" fillId="14" borderId="8" xfId="42">
      <alignment vertical="top" shrinkToFit="1"/>
    </xf>
    <xf numFmtId="4" fontId="25" fillId="15" borderId="8" xfId="43">
      <alignment horizontal="right" vertical="top" shrinkToFit="1"/>
      <protection locked="0"/>
    </xf>
    <xf numFmtId="0" fontId="25" fillId="14" borderId="9" xfId="44">
      <alignment vertical="top" shrinkToFit="1"/>
    </xf>
    <xf numFmtId="4" fontId="25" fillId="15" borderId="9" xfId="45">
      <alignment horizontal="right" vertical="top" shrinkToFit="1"/>
      <protection locked="0"/>
    </xf>
    <xf numFmtId="0" fontId="25" fillId="14" borderId="10" xfId="46">
      <alignment vertical="top" shrinkToFit="1"/>
    </xf>
    <xf numFmtId="4" fontId="25" fillId="15" borderId="10" xfId="47">
      <alignment horizontal="right" vertical="top" shrinkToFit="1"/>
      <protection locked="0"/>
    </xf>
    <xf numFmtId="172" fontId="25" fillId="15" borderId="9" xfId="48">
      <alignment horizontal="right" vertical="top" shrinkToFit="1"/>
      <protection locked="0"/>
    </xf>
    <xf numFmtId="172" fontId="25" fillId="15" borderId="8" xfId="49">
      <alignment horizontal="right" vertical="top" shrinkToFit="1"/>
      <protection locked="0"/>
    </xf>
    <xf numFmtId="164" fontId="25" fillId="15" borderId="7" xfId="50">
      <alignment horizontal="right" vertical="top" shrinkToFit="1"/>
      <protection locked="0"/>
    </xf>
    <xf numFmtId="166" fontId="25" fillId="15" borderId="7" xfId="51">
      <alignment horizontal="right" vertical="top" shrinkToFit="1"/>
      <protection locked="0"/>
    </xf>
    <xf numFmtId="172" fontId="25" fillId="15" borderId="10" xfId="52">
      <alignment horizontal="right" vertical="top" shrinkToFit="1"/>
      <protection locked="0"/>
    </xf>
    <xf numFmtId="166" fontId="25" fillId="15" borderId="9" xfId="53">
      <alignment horizontal="right" vertical="top" shrinkToFit="1"/>
      <protection locked="0"/>
    </xf>
    <xf numFmtId="0" fontId="25" fillId="14" borderId="11" xfId="54">
      <alignment horizontal="center" vertical="top" shrinkToFit="1"/>
    </xf>
    <xf numFmtId="0" fontId="25" fillId="14" borderId="12" xfId="55">
      <alignment horizontal="center" vertical="top" shrinkToFit="1"/>
    </xf>
    <xf numFmtId="0" fontId="25" fillId="14" borderId="7" xfId="56">
      <alignment horizontal="center" vertical="top" shrinkToFit="1"/>
    </xf>
    <xf numFmtId="164" fontId="24" fillId="14" borderId="13" xfId="57">
      <alignment horizontal="right" vertical="top" shrinkToFit="1"/>
    </xf>
    <xf numFmtId="164" fontId="25" fillId="14" borderId="8" xfId="58">
      <alignment horizontal="right" vertical="top" shrinkToFit="1"/>
    </xf>
    <xf numFmtId="0" fontId="25" fillId="14" borderId="12" xfId="59">
      <alignment vertical="top" shrinkToFit="1"/>
    </xf>
    <xf numFmtId="164" fontId="24" fillId="14" borderId="0" xfId="60">
      <alignment horizontal="right" vertical="top" shrinkToFit="1"/>
    </xf>
    <xf numFmtId="164" fontId="25" fillId="14" borderId="10" xfId="61">
      <alignment horizontal="right" vertical="top" shrinkToFit="1"/>
    </xf>
    <xf numFmtId="164" fontId="24" fillId="14" borderId="14" xfId="62">
      <alignment horizontal="right" vertical="top" shrinkToFit="1"/>
    </xf>
    <xf numFmtId="164" fontId="25" fillId="14" borderId="9" xfId="63">
      <alignment horizontal="right" vertical="top" shrinkToFit="1"/>
    </xf>
    <xf numFmtId="4" fontId="25" fillId="14" borderId="8" xfId="64">
      <alignment horizontal="right" vertical="top" shrinkToFit="1"/>
    </xf>
    <xf numFmtId="4" fontId="25" fillId="14" borderId="9" xfId="65">
      <alignment horizontal="right" vertical="top" shrinkToFit="1"/>
    </xf>
    <xf numFmtId="4" fontId="25" fillId="14" borderId="10" xfId="66">
      <alignment horizontal="right" vertical="top" shrinkToFit="1"/>
    </xf>
    <xf numFmtId="4" fontId="24" fillId="14" borderId="13" xfId="67">
      <alignment horizontal="right" vertical="top" shrinkToFit="1"/>
    </xf>
    <xf numFmtId="4" fontId="24" fillId="14" borderId="14" xfId="68">
      <alignment horizontal="right" vertical="top" shrinkToFit="1"/>
    </xf>
    <xf numFmtId="172" fontId="25" fillId="14" borderId="10" xfId="69">
      <alignment horizontal="right" vertical="top" shrinkToFit="1"/>
    </xf>
    <xf numFmtId="172" fontId="25" fillId="14" borderId="8" xfId="70">
      <alignment horizontal="right" vertical="top" shrinkToFit="1"/>
    </xf>
    <xf numFmtId="172" fontId="25" fillId="14" borderId="7" xfId="72">
      <alignment horizontal="right" vertical="top" shrinkToFit="1"/>
    </xf>
    <xf numFmtId="172" fontId="25" fillId="14" borderId="9" xfId="71">
      <alignment horizontal="right" vertical="top" shrinkToFit="1"/>
    </xf>
    <xf numFmtId="0" fontId="25" fillId="14" borderId="12" xfId="73">
      <alignment horizontal="left" vertical="top" shrinkToFit="1"/>
    </xf>
    <xf numFmtId="0" fontId="25" fillId="2" borderId="0" xfId="74">
      <alignment vertical="top" shrinkToFit="1"/>
    </xf>
    <xf numFmtId="0" fontId="27" fillId="2" borderId="0" xfId="75">
      <alignment vertical="top" shrinkToFit="1"/>
    </xf>
    <xf numFmtId="0" fontId="25" fillId="2" borderId="0" xfId="76">
      <alignment horizontal="right" vertical="top" shrinkToFit="1"/>
    </xf>
    <xf numFmtId="0" fontId="24" fillId="2" borderId="0" xfId="77">
      <alignment vertical="top" shrinkToFit="1"/>
    </xf>
    <xf numFmtId="0" fontId="27" fillId="14" borderId="12" xfId="78">
      <alignment vertical="top" shrinkToFit="1"/>
    </xf>
    <xf numFmtId="0" fontId="25" fillId="14" borderId="12" xfId="79">
      <alignment horizontal="right" vertical="top" shrinkToFit="1"/>
    </xf>
    <xf numFmtId="0" fontId="24" fillId="14" borderId="12" xfId="80">
      <alignment vertical="top" shrinkToFit="1"/>
    </xf>
    <xf numFmtId="168" fontId="24" fillId="14" borderId="12" xfId="81">
      <alignment horizontal="right" vertical="top" shrinkToFit="1"/>
    </xf>
    <xf numFmtId="168" fontId="25" fillId="14" borderId="7" xfId="82">
      <alignment horizontal="right" vertical="top" shrinkToFit="1"/>
    </xf>
    <xf numFmtId="4" fontId="24" fillId="14" borderId="15" xfId="83">
      <alignment horizontal="right" vertical="top" shrinkToFit="1"/>
    </xf>
    <xf numFmtId="167" fontId="24" fillId="14" borderId="15" xfId="84">
      <alignment horizontal="right" vertical="top" shrinkToFit="1"/>
    </xf>
    <xf numFmtId="4" fontId="24" fillId="14" borderId="12" xfId="85">
      <alignment horizontal="right" vertical="top" shrinkToFit="1"/>
    </xf>
    <xf numFmtId="4" fontId="25" fillId="14" borderId="7" xfId="86">
      <alignment horizontal="right" vertical="top" shrinkToFit="1"/>
    </xf>
    <xf numFmtId="0" fontId="25" fillId="14" borderId="16" xfId="87">
      <alignment horizontal="left" vertical="top" shrinkToFit="1"/>
    </xf>
    <xf numFmtId="168" fontId="24" fillId="15" borderId="16" xfId="88">
      <alignment vertical="top" shrinkToFit="1"/>
      <protection locked="0"/>
    </xf>
    <xf numFmtId="0" fontId="25" fillId="14" borderId="17" xfId="89">
      <alignment horizontal="left" vertical="top" shrinkToFit="1"/>
    </xf>
    <xf numFmtId="0" fontId="24" fillId="15" borderId="16" xfId="91">
      <alignment vertical="top" shrinkToFit="1"/>
      <protection locked="0"/>
    </xf>
    <xf numFmtId="0" fontId="24" fillId="14" borderId="16" xfId="90">
      <alignment vertical="top" shrinkToFit="1"/>
    </xf>
    <xf numFmtId="164" fontId="0" fillId="0" borderId="0" xfId="0" applyNumberFormat="1">
      <alignment vertical="center"/>
    </xf>
    <xf numFmtId="4" fontId="0" fillId="0" borderId="0" xfId="0" applyNumberFormat="1">
      <alignment vertical="center"/>
    </xf>
    <xf numFmtId="0" fontId="25" fillId="14" borderId="17" xfId="89" applyAlignment="1">
      <alignment horizontal="left" vertical="top" wrapText="1" shrinkToFit="1"/>
    </xf>
    <xf numFmtId="0" fontId="24" fillId="15" borderId="16" xfId="91" applyAlignment="1">
      <alignment vertical="top" wrapText="1" shrinkToFit="1"/>
      <protection locked="0"/>
    </xf>
    <xf numFmtId="0" fontId="0" fillId="0" borderId="0" xfId="0" applyAlignment="1">
      <alignment vertical="center" wrapText="1"/>
    </xf>
    <xf numFmtId="0" fontId="29" fillId="0" borderId="26" xfId="0" applyFont="1" applyBorder="1" applyAlignment="1">
      <alignment horizontal="left" vertical="center" wrapText="1" indent="4"/>
    </xf>
    <xf numFmtId="0" fontId="0" fillId="0" borderId="26" xfId="0" applyBorder="1">
      <alignment vertical="center"/>
    </xf>
    <xf numFmtId="0" fontId="29" fillId="0" borderId="21" xfId="0" applyFont="1" applyBorder="1" applyAlignment="1">
      <alignment horizontal="center" vertical="center" wrapText="1"/>
    </xf>
    <xf numFmtId="0" fontId="40" fillId="0" borderId="21" xfId="0" applyFont="1" applyBorder="1" applyAlignment="1">
      <alignment vertical="center" wrapText="1"/>
    </xf>
    <xf numFmtId="0" fontId="41" fillId="0" borderId="21" xfId="0" applyFont="1" applyBorder="1" applyAlignment="1">
      <alignment vertical="center" wrapText="1"/>
    </xf>
    <xf numFmtId="0" fontId="0" fillId="0" borderId="26" xfId="0" applyFont="1" applyBorder="1" applyAlignment="1">
      <alignment vertical="center" wrapText="1"/>
    </xf>
    <xf numFmtId="0" fontId="0" fillId="0" borderId="26" xfId="0" applyBorder="1" applyAlignment="1">
      <alignment vertical="center" wrapText="1"/>
    </xf>
    <xf numFmtId="0" fontId="39" fillId="0" borderId="21" xfId="34" applyBorder="1" applyAlignment="1" applyProtection="1">
      <alignment vertical="center" wrapText="1"/>
    </xf>
    <xf numFmtId="0" fontId="32" fillId="0" borderId="26" xfId="0" applyFont="1" applyBorder="1" applyAlignment="1">
      <alignment vertical="center" wrapText="1"/>
    </xf>
    <xf numFmtId="0" fontId="31" fillId="0" borderId="26" xfId="0" applyFont="1" applyBorder="1" applyAlignment="1">
      <alignment vertical="center" wrapText="1"/>
    </xf>
    <xf numFmtId="0" fontId="0" fillId="0" borderId="26" xfId="0" applyBorder="1" applyAlignment="1">
      <alignment horizontal="left" vertical="center" wrapText="1" indent="1"/>
    </xf>
    <xf numFmtId="0" fontId="0" fillId="0" borderId="26" xfId="0" applyBorder="1" applyAlignment="1">
      <alignment horizontal="left" vertical="center" wrapText="1" indent="2"/>
    </xf>
    <xf numFmtId="0" fontId="39" fillId="0" borderId="26" xfId="34" applyBorder="1" applyAlignment="1" applyProtection="1">
      <alignment horizontal="left" vertical="center" wrapText="1" indent="1"/>
    </xf>
    <xf numFmtId="0" fontId="1" fillId="0" borderId="21" xfId="230" applyFont="1" applyBorder="1" applyAlignment="1">
      <alignment horizontal="left" vertical="center" wrapText="1" indent="1"/>
    </xf>
    <xf numFmtId="0" fontId="0" fillId="0" borderId="0" xfId="0" applyBorder="1" applyAlignment="1">
      <alignment vertical="center" wrapText="1"/>
    </xf>
    <xf numFmtId="0" fontId="1" fillId="0" borderId="21" xfId="230" applyNumberFormat="1" applyFont="1" applyBorder="1" applyAlignment="1">
      <alignment vertical="center" wrapText="1"/>
    </xf>
    <xf numFmtId="0" fontId="1" fillId="0" borderId="21" xfId="230" applyFont="1" applyBorder="1" applyAlignment="1">
      <alignment vertical="center" wrapText="1"/>
    </xf>
    <xf numFmtId="0" fontId="1" fillId="0" borderId="21" xfId="230" applyFont="1" applyBorder="1" applyAlignment="1">
      <alignment vertical="top" wrapText="1"/>
    </xf>
    <xf numFmtId="0" fontId="0" fillId="0" borderId="26" xfId="0" applyNumberFormat="1" applyBorder="1" applyAlignment="1">
      <alignment horizontal="left" vertical="center" wrapText="1"/>
    </xf>
    <xf numFmtId="0" fontId="39" fillId="0" borderId="0" xfId="34" applyBorder="1" applyAlignment="1" applyProtection="1">
      <alignment vertical="center" wrapText="1"/>
    </xf>
    <xf numFmtId="0" fontId="0" fillId="17" borderId="7" xfId="0" applyFill="1" applyBorder="1" applyAlignment="1">
      <alignment vertical="center" wrapText="1"/>
    </xf>
    <xf numFmtId="0" fontId="0" fillId="0" borderId="27" xfId="0" applyBorder="1" applyAlignment="1">
      <alignment vertical="center" wrapText="1"/>
    </xf>
    <xf numFmtId="0" fontId="0" fillId="0" borderId="21" xfId="0" applyNumberFormat="1" applyBorder="1" applyAlignment="1">
      <alignment vertical="center" wrapText="1"/>
    </xf>
    <xf numFmtId="0" fontId="0" fillId="0" borderId="28" xfId="0" applyBorder="1" applyAlignment="1">
      <alignment vertical="center" wrapText="1"/>
    </xf>
    <xf numFmtId="0" fontId="35" fillId="0" borderId="21" xfId="0" applyFont="1" applyBorder="1" applyAlignment="1">
      <alignment vertical="center" wrapText="1"/>
    </xf>
    <xf numFmtId="0" fontId="0" fillId="0" borderId="21" xfId="0" applyBorder="1" applyAlignment="1">
      <alignment horizontal="left" vertical="center" wrapText="1"/>
    </xf>
    <xf numFmtId="0" fontId="42" fillId="0" borderId="21" xfId="0" applyFont="1" applyBorder="1" applyAlignment="1">
      <alignment horizontal="left" vertical="center" wrapText="1"/>
    </xf>
    <xf numFmtId="0" fontId="43" fillId="0" borderId="21" xfId="0" applyFont="1" applyBorder="1" applyAlignment="1">
      <alignment horizontal="left" vertical="center" wrapText="1"/>
    </xf>
    <xf numFmtId="0" fontId="44" fillId="0" borderId="21" xfId="0" applyFont="1" applyBorder="1" applyAlignment="1">
      <alignment horizontal="left" vertical="center" wrapText="1"/>
    </xf>
    <xf numFmtId="0" fontId="36" fillId="0" borderId="21" xfId="0" applyFont="1" applyBorder="1" applyAlignment="1">
      <alignment vertical="center" wrapText="1"/>
    </xf>
    <xf numFmtId="0" fontId="0" fillId="0" borderId="25" xfId="0" applyBorder="1" applyAlignment="1">
      <alignment horizontal="left" vertical="center" wrapText="1" indent="2"/>
    </xf>
    <xf numFmtId="0" fontId="42" fillId="0" borderId="25" xfId="0" applyFont="1" applyBorder="1" applyAlignment="1">
      <alignment horizontal="left" vertical="center" wrapText="1" indent="2"/>
    </xf>
    <xf numFmtId="0" fontId="43" fillId="0" borderId="25" xfId="0" applyFont="1" applyBorder="1" applyAlignment="1">
      <alignment horizontal="left" vertical="center" wrapText="1" indent="2"/>
    </xf>
    <xf numFmtId="0" fontId="44" fillId="0" borderId="25" xfId="0" applyFont="1" applyBorder="1" applyAlignment="1">
      <alignment horizontal="left" vertical="center" wrapText="1" indent="2"/>
    </xf>
    <xf numFmtId="0" fontId="42" fillId="0" borderId="21" xfId="0" applyFont="1" applyBorder="1" applyAlignment="1">
      <alignment horizontal="left" vertical="center" wrapText="1" indent="1"/>
    </xf>
    <xf numFmtId="0" fontId="43" fillId="0" borderId="21" xfId="0" applyFont="1" applyBorder="1" applyAlignment="1">
      <alignment horizontal="left" vertical="center" wrapText="1" indent="1"/>
    </xf>
    <xf numFmtId="0" fontId="44" fillId="0" borderId="21" xfId="0" applyFont="1" applyBorder="1" applyAlignment="1">
      <alignment horizontal="left" vertical="center" wrapText="1" indent="1"/>
    </xf>
    <xf numFmtId="0" fontId="36" fillId="0" borderId="21" xfId="0" applyFont="1" applyBorder="1" applyAlignment="1">
      <alignment horizontal="left" vertical="center" wrapText="1"/>
    </xf>
    <xf numFmtId="0" fontId="0" fillId="0" borderId="21" xfId="0" applyBorder="1" applyAlignment="1">
      <alignment horizontal="left" vertical="center" wrapText="1" indent="3"/>
    </xf>
    <xf numFmtId="0" fontId="43" fillId="0" borderId="21" xfId="0" applyFont="1" applyBorder="1" applyAlignment="1">
      <alignment horizontal="left" vertical="center" wrapText="1" indent="2"/>
    </xf>
    <xf numFmtId="0" fontId="42" fillId="0" borderId="21" xfId="0" applyFont="1" applyBorder="1" applyAlignment="1">
      <alignment horizontal="left" vertical="center" wrapText="1" indent="2"/>
    </xf>
    <xf numFmtId="0" fontId="42" fillId="0" borderId="21" xfId="0" applyFont="1" applyBorder="1" applyAlignment="1">
      <alignment horizontal="left" vertical="center" wrapText="1" indent="3"/>
    </xf>
    <xf numFmtId="0" fontId="43" fillId="0" borderId="21" xfId="0" applyFont="1" applyBorder="1" applyAlignment="1">
      <alignment horizontal="left" vertical="center" wrapText="1" indent="3"/>
    </xf>
    <xf numFmtId="0" fontId="1" fillId="0" borderId="21" xfId="0" applyFont="1" applyBorder="1" applyAlignment="1">
      <alignment horizontal="left" vertical="center" wrapText="1" indent="1"/>
    </xf>
    <xf numFmtId="0" fontId="44" fillId="0" borderId="21" xfId="0" applyFont="1" applyBorder="1" applyAlignment="1">
      <alignment horizontal="left" vertical="center" wrapText="1" indent="2"/>
    </xf>
    <xf numFmtId="0" fontId="1" fillId="0" borderId="21" xfId="0" applyFont="1" applyBorder="1" applyAlignment="1">
      <alignment vertical="center" wrapText="1"/>
    </xf>
    <xf numFmtId="0" fontId="35" fillId="0" borderId="21" xfId="0" applyFont="1" applyBorder="1" applyAlignment="1">
      <alignment horizontal="left" vertical="center" wrapText="1" indent="1"/>
    </xf>
    <xf numFmtId="0" fontId="32" fillId="0" borderId="21" xfId="0" applyFont="1" applyBorder="1" applyAlignment="1">
      <alignment horizontal="left" vertical="center" wrapText="1"/>
    </xf>
    <xf numFmtId="0" fontId="24" fillId="14" borderId="0" xfId="38">
      <alignment vertical="top" shrinkToFit="1"/>
    </xf>
    <xf numFmtId="0" fontId="26" fillId="14" borderId="0" xfId="41">
      <alignment vertical="top" shrinkToFit="1"/>
    </xf>
    <xf numFmtId="0" fontId="23" fillId="14" borderId="0" xfId="37">
      <alignment vertical="top" shrinkToFit="1"/>
    </xf>
  </cellXfs>
  <cellStyles count="23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MSSStyle001" xfId="37"/>
    <cellStyle name="MSSStyle002" xfId="38"/>
    <cellStyle name="MSSStyle003" xfId="39"/>
    <cellStyle name="MSSStyle004" xfId="40"/>
    <cellStyle name="MSSStyle005" xfId="41"/>
    <cellStyle name="MSSStyle006" xfId="42"/>
    <cellStyle name="MSSStyle007" xfId="43"/>
    <cellStyle name="MSSStyle008" xfId="44"/>
    <cellStyle name="MSSStyle009" xfId="45"/>
    <cellStyle name="MSSStyle010" xfId="46"/>
    <cellStyle name="MSSStyle011" xfId="47"/>
    <cellStyle name="MSSStyle012" xfId="48"/>
    <cellStyle name="MSSStyle013" xfId="49"/>
    <cellStyle name="MSSStyle014" xfId="50"/>
    <cellStyle name="MSSStyle015" xfId="51"/>
    <cellStyle name="MSSStyle016" xfId="52"/>
    <cellStyle name="MSSStyle017" xfId="53"/>
    <cellStyle name="MSSStyle018" xfId="54"/>
    <cellStyle name="MSSStyle019" xfId="55"/>
    <cellStyle name="MSSStyle020" xfId="56"/>
    <cellStyle name="MSSStyle021" xfId="57"/>
    <cellStyle name="MSSStyle022" xfId="58"/>
    <cellStyle name="MSSStyle023" xfId="59"/>
    <cellStyle name="MSSStyle024" xfId="60"/>
    <cellStyle name="MSSStyle025" xfId="61"/>
    <cellStyle name="MSSStyle026" xfId="62"/>
    <cellStyle name="MSSStyle027" xfId="63"/>
    <cellStyle name="MSSStyle028" xfId="64"/>
    <cellStyle name="MSSStyle029" xfId="65"/>
    <cellStyle name="MSSStyle030" xfId="66"/>
    <cellStyle name="MSSStyle031" xfId="67"/>
    <cellStyle name="MSSStyle032" xfId="68"/>
    <cellStyle name="MSSStyle033" xfId="69"/>
    <cellStyle name="MSSStyle034" xfId="70"/>
    <cellStyle name="MSSStyle035" xfId="71"/>
    <cellStyle name="MSSStyle036" xfId="72"/>
    <cellStyle name="MSSStyle037" xfId="73"/>
    <cellStyle name="MSSStyle038" xfId="74"/>
    <cellStyle name="MSSStyle039" xfId="75"/>
    <cellStyle name="MSSStyle040" xfId="76"/>
    <cellStyle name="MSSStyle041" xfId="77"/>
    <cellStyle name="MSSStyle042" xfId="78"/>
    <cellStyle name="MSSStyle043" xfId="79"/>
    <cellStyle name="MSSStyle044" xfId="80"/>
    <cellStyle name="MSSStyle045" xfId="81"/>
    <cellStyle name="MSSStyle046" xfId="82"/>
    <cellStyle name="MSSStyle047" xfId="83"/>
    <cellStyle name="MSSStyle048" xfId="84"/>
    <cellStyle name="MSSStyle049" xfId="85"/>
    <cellStyle name="MSSStyle050" xfId="86"/>
    <cellStyle name="MSSStyle051" xfId="87"/>
    <cellStyle name="MSSStyle052" xfId="88"/>
    <cellStyle name="MSSStyle053" xfId="89"/>
    <cellStyle name="MSSStyle054" xfId="90"/>
    <cellStyle name="MSSStyle055" xfId="91"/>
    <cellStyle name="MSSStyle056" xfId="92"/>
    <cellStyle name="MSSStyle057" xfId="93"/>
    <cellStyle name="MSSStyle058" xfId="94"/>
    <cellStyle name="MSSStyle059" xfId="95"/>
    <cellStyle name="MSSStyle060" xfId="96"/>
    <cellStyle name="MSSStyle061" xfId="97"/>
    <cellStyle name="MSSStyle062" xfId="98"/>
    <cellStyle name="MSSStyle063" xfId="99"/>
    <cellStyle name="MSSStyle064" xfId="100"/>
    <cellStyle name="MSSStyle065" xfId="101"/>
    <cellStyle name="MSSStyle066" xfId="102"/>
    <cellStyle name="MSSStyle067" xfId="103"/>
    <cellStyle name="MSSStyle068" xfId="104"/>
    <cellStyle name="MSSStyle069" xfId="105"/>
    <cellStyle name="MSSStyle070" xfId="106"/>
    <cellStyle name="MSSStyle071" xfId="107"/>
    <cellStyle name="MSSStyle072" xfId="108"/>
    <cellStyle name="MSSStyle073" xfId="109"/>
    <cellStyle name="MSSStyle074" xfId="110"/>
    <cellStyle name="MSSStyle075" xfId="111"/>
    <cellStyle name="MSSStyle076" xfId="112"/>
    <cellStyle name="MSSStyle077" xfId="113"/>
    <cellStyle name="MSSStyle078" xfId="114"/>
    <cellStyle name="MSSStyle079" xfId="115"/>
    <cellStyle name="MSSStyle080" xfId="116"/>
    <cellStyle name="MSSStyle081" xfId="117"/>
    <cellStyle name="MSSStyle082" xfId="118"/>
    <cellStyle name="MSSStyle083" xfId="119"/>
    <cellStyle name="MSSStyle084" xfId="120"/>
    <cellStyle name="MSSStyle085" xfId="121"/>
    <cellStyle name="MSSStyle086" xfId="122"/>
    <cellStyle name="MSSStyle087" xfId="123"/>
    <cellStyle name="MSSStyle088" xfId="124"/>
    <cellStyle name="MSSStyle089" xfId="125"/>
    <cellStyle name="MSSStyle090" xfId="126"/>
    <cellStyle name="MSSStyle091" xfId="127"/>
    <cellStyle name="MSSStyle092" xfId="128"/>
    <cellStyle name="MSSStyle093" xfId="129"/>
    <cellStyle name="MSSStyle094" xfId="130"/>
    <cellStyle name="MSSStyle095" xfId="131"/>
    <cellStyle name="MSSStyle096" xfId="132"/>
    <cellStyle name="MSSStyle097" xfId="133"/>
    <cellStyle name="MSSStyle098" xfId="134"/>
    <cellStyle name="MSSStyle099" xfId="135"/>
    <cellStyle name="MSSStyle100" xfId="136"/>
    <cellStyle name="MSSStyle101" xfId="137"/>
    <cellStyle name="MSSStyle102" xfId="138"/>
    <cellStyle name="MSSStyle103" xfId="139"/>
    <cellStyle name="MSSStyle104" xfId="140"/>
    <cellStyle name="MSSStyle105" xfId="141"/>
    <cellStyle name="MSSStyle106" xfId="142"/>
    <cellStyle name="MSSStyle107" xfId="143"/>
    <cellStyle name="MSSStyle108" xfId="144"/>
    <cellStyle name="MSSStyle109" xfId="145"/>
    <cellStyle name="MSSStyle110" xfId="146"/>
    <cellStyle name="MSSStyle111" xfId="147"/>
    <cellStyle name="MSSStyle112" xfId="148"/>
    <cellStyle name="MSSStyle113" xfId="149"/>
    <cellStyle name="MSSStyle114" xfId="150"/>
    <cellStyle name="MSSStyle115" xfId="151"/>
    <cellStyle name="MSSStyle116" xfId="152"/>
    <cellStyle name="MSSStyle117" xfId="153"/>
    <cellStyle name="MSSStyle118" xfId="154"/>
    <cellStyle name="MSSStyle119" xfId="155"/>
    <cellStyle name="MSSStyle120" xfId="156"/>
    <cellStyle name="MSSStyle121" xfId="157"/>
    <cellStyle name="MSSStyle122" xfId="158"/>
    <cellStyle name="MSSStyle123" xfId="159"/>
    <cellStyle name="MSSStyle124" xfId="160"/>
    <cellStyle name="MSSStyle125" xfId="161"/>
    <cellStyle name="MSSStyle126" xfId="162"/>
    <cellStyle name="MSSStyle127" xfId="163"/>
    <cellStyle name="MSSStyle128" xfId="164"/>
    <cellStyle name="MSSStyle129" xfId="165"/>
    <cellStyle name="MSSStyle130" xfId="166"/>
    <cellStyle name="MSSStyle131" xfId="167"/>
    <cellStyle name="MSSStyle132" xfId="168"/>
    <cellStyle name="MSSStyle133" xfId="169"/>
    <cellStyle name="MSSStyle134" xfId="170"/>
    <cellStyle name="MSSStyle135" xfId="171"/>
    <cellStyle name="MSSStyle136" xfId="172"/>
    <cellStyle name="MSSStyle137" xfId="173"/>
    <cellStyle name="MSSStyle138" xfId="174"/>
    <cellStyle name="MSSStyle139" xfId="175"/>
    <cellStyle name="MSSStyle140" xfId="176"/>
    <cellStyle name="MSSStyle141" xfId="177"/>
    <cellStyle name="MSSStyle142" xfId="178"/>
    <cellStyle name="MSSStyle143" xfId="179"/>
    <cellStyle name="MSSStyle144" xfId="180"/>
    <cellStyle name="MSSStyle145" xfId="181"/>
    <cellStyle name="MSSStyle146" xfId="182"/>
    <cellStyle name="MSSStyle147" xfId="183"/>
    <cellStyle name="MSSStyle148" xfId="184"/>
    <cellStyle name="MSSStyle149" xfId="185"/>
    <cellStyle name="MSSStyle150" xfId="186"/>
    <cellStyle name="MSSStyle151" xfId="187"/>
    <cellStyle name="MSSStyle152" xfId="188"/>
    <cellStyle name="MSSStyle153" xfId="189"/>
    <cellStyle name="MSSStyle154" xfId="190"/>
    <cellStyle name="MSSStyle155" xfId="191"/>
    <cellStyle name="MSSStyle156" xfId="192"/>
    <cellStyle name="MSSStyle157" xfId="193"/>
    <cellStyle name="MSSStyle158" xfId="194"/>
    <cellStyle name="MSSStyle159" xfId="195"/>
    <cellStyle name="MSSStyle160" xfId="196"/>
    <cellStyle name="MSSStyle161" xfId="197"/>
    <cellStyle name="MSSStyle162" xfId="198"/>
    <cellStyle name="MSSStyle163" xfId="199"/>
    <cellStyle name="MSSStyle164" xfId="200"/>
    <cellStyle name="MSSStyle165" xfId="201"/>
    <cellStyle name="MSSStyle166" xfId="202"/>
    <cellStyle name="MSSStyle167" xfId="203"/>
    <cellStyle name="MSSStyle168" xfId="204"/>
    <cellStyle name="MSSStyle169" xfId="205"/>
    <cellStyle name="MSSStyle170" xfId="206"/>
    <cellStyle name="MSSStyle171" xfId="207"/>
    <cellStyle name="MSSStyle172" xfId="208"/>
    <cellStyle name="MSSStyle173" xfId="209"/>
    <cellStyle name="MSSStyle174" xfId="210"/>
    <cellStyle name="MSSStyle175" xfId="211"/>
    <cellStyle name="MSSStyle176" xfId="212"/>
    <cellStyle name="MSSStyle177" xfId="213"/>
    <cellStyle name="MSSStyle178" xfId="214"/>
    <cellStyle name="MSSStyle179" xfId="215"/>
    <cellStyle name="MSSStyle180" xfId="216"/>
    <cellStyle name="MSSStyle181" xfId="217"/>
    <cellStyle name="MSSStyle182" xfId="218"/>
    <cellStyle name="MSSStyle183" xfId="219"/>
    <cellStyle name="MSSStyle184" xfId="220"/>
    <cellStyle name="MSSStyle185" xfId="221"/>
    <cellStyle name="MSSStyle186" xfId="222"/>
    <cellStyle name="MSSStyle187" xfId="223"/>
    <cellStyle name="MSSStyle188" xfId="224"/>
    <cellStyle name="MSSStyle189" xfId="225"/>
    <cellStyle name="MSSStyle190" xfId="226"/>
    <cellStyle name="MSSStyle191" xfId="227"/>
    <cellStyle name="Neutral" xfId="228" builtinId="28" customBuiltin="1"/>
    <cellStyle name="Normal" xfId="0" builtinId="0"/>
    <cellStyle name="Normal 2" xfId="229"/>
    <cellStyle name="Normal 2 2" xfId="230"/>
    <cellStyle name="Note" xfId="231" builtinId="10" customBuiltin="1"/>
    <cellStyle name="Output" xfId="232" builtinId="21" customBuiltin="1"/>
    <cellStyle name="Title" xfId="233" builtinId="15" customBuiltin="1"/>
    <cellStyle name="Total" xfId="234" builtinId="25" customBuiltin="1"/>
    <cellStyle name="Warning Text" xfId="235"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E0EC"/>
      <rgbColor rgb="00E0FFFF"/>
      <rgbColor rgb="00F0F0F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Production</a:t>
            </a:r>
          </a:p>
        </c:rich>
      </c:tx>
      <c:layout>
        <c:manualLayout>
          <c:xMode val="edge"/>
          <c:yMode val="edge"/>
          <c:x val="0.44104309158410693"/>
          <c:y val="4.4775965504311961E-2"/>
        </c:manualLayout>
      </c:layout>
      <c:overlay val="0"/>
      <c:spPr>
        <a:solidFill>
          <a:srgbClr val="FFFFFF"/>
        </a:solidFill>
        <a:ln w="25400">
          <a:noFill/>
        </a:ln>
      </c:spPr>
    </c:title>
    <c:autoTitleDeleted val="0"/>
    <c:plotArea>
      <c:layout>
        <c:manualLayout>
          <c:layoutTarget val="inner"/>
          <c:xMode val="edge"/>
          <c:yMode val="edge"/>
          <c:x val="0.22222222222222221"/>
          <c:y val="8.0597014925373134E-2"/>
          <c:w val="0.74943310657596374"/>
          <c:h val="0.49850746268656715"/>
        </c:manualLayout>
      </c:layout>
      <c:lineChart>
        <c:grouping val="standard"/>
        <c:varyColors val="0"/>
        <c:ser>
          <c:idx val="0"/>
          <c:order val="0"/>
          <c:tx>
            <c:v>Output</c:v>
          </c:tx>
          <c:spPr>
            <a:ln w="25400">
              <a:solidFill>
                <a:srgbClr val="0000FF"/>
              </a:solidFill>
              <a:prstDash val="solid"/>
            </a:ln>
          </c:spPr>
          <c:marker>
            <c:symbol val="none"/>
          </c:marker>
          <c:cat>
            <c:strRef>
              <c:f>[0]!Output_Potential_Time_Period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[0]!Output</c:f>
              <c:numCache>
                <c:formatCode>"$"#,##0_);[Red]\("$"#,##0\)</c:formatCode>
                <c:ptCount val="132"/>
                <c:pt idx="0">
                  <c:v>1191258.6665475934</c:v>
                </c:pt>
                <c:pt idx="1">
                  <c:v>1179163.8146342076</c:v>
                </c:pt>
                <c:pt idx="2">
                  <c:v>1198502.5948285589</c:v>
                </c:pt>
                <c:pt idx="3">
                  <c:v>1153400.9526046792</c:v>
                </c:pt>
                <c:pt idx="4">
                  <c:v>1219000.4625617997</c:v>
                </c:pt>
                <c:pt idx="5">
                  <c:v>1194071.691563088</c:v>
                </c:pt>
                <c:pt idx="6">
                  <c:v>1220436.6270985499</c:v>
                </c:pt>
                <c:pt idx="7">
                  <c:v>1151827.2087257649</c:v>
                </c:pt>
                <c:pt idx="8">
                  <c:v>1182425.3280228144</c:v>
                </c:pt>
                <c:pt idx="9">
                  <c:v>1188440.0610920659</c:v>
                </c:pt>
                <c:pt idx="10">
                  <c:v>1165962.7656749624</c:v>
                </c:pt>
                <c:pt idx="11">
                  <c:v>1134755.1263466517</c:v>
                </c:pt>
                <c:pt idx="12">
                  <c:v>1163285.327358298</c:v>
                </c:pt>
                <c:pt idx="13">
                  <c:v>1133772.3509215759</c:v>
                </c:pt>
                <c:pt idx="14">
                  <c:v>1157917.9293246637</c:v>
                </c:pt>
                <c:pt idx="15">
                  <c:v>1167102.4104336719</c:v>
                </c:pt>
                <c:pt idx="16">
                  <c:v>1190691.1702458565</c:v>
                </c:pt>
                <c:pt idx="17">
                  <c:v>1143080.8364441267</c:v>
                </c:pt>
                <c:pt idx="18">
                  <c:v>1179199.19755103</c:v>
                </c:pt>
                <c:pt idx="19">
                  <c:v>1183906.1356955094</c:v>
                </c:pt>
                <c:pt idx="20">
                  <c:v>1148976.4059871898</c:v>
                </c:pt>
                <c:pt idx="21">
                  <c:v>1155145.8797601652</c:v>
                </c:pt>
                <c:pt idx="22">
                  <c:v>1151556.7663813154</c:v>
                </c:pt>
                <c:pt idx="23">
                  <c:v>1161748.4190332694</c:v>
                </c:pt>
                <c:pt idx="24">
                  <c:v>1139715.733922876</c:v>
                </c:pt>
                <c:pt idx="25">
                  <c:v>1189485.763758701</c:v>
                </c:pt>
                <c:pt idx="26">
                  <c:v>1228964.9584291272</c:v>
                </c:pt>
                <c:pt idx="27">
                  <c:v>1162229.4661105266</c:v>
                </c:pt>
                <c:pt idx="28">
                  <c:v>1130678.1261542875</c:v>
                </c:pt>
                <c:pt idx="29">
                  <c:v>1134529.9299497495</c:v>
                </c:pt>
                <c:pt idx="30">
                  <c:v>1189466.1171051292</c:v>
                </c:pt>
                <c:pt idx="31">
                  <c:v>1140426.34661105</c:v>
                </c:pt>
                <c:pt idx="32">
                  <c:v>1111958.2389834276</c:v>
                </c:pt>
                <c:pt idx="33">
                  <c:v>1198783.9803176124</c:v>
                </c:pt>
                <c:pt idx="34">
                  <c:v>1184811.7037877422</c:v>
                </c:pt>
                <c:pt idx="35">
                  <c:v>1181283.5020787632</c:v>
                </c:pt>
                <c:pt idx="36">
                  <c:v>1177637.5453314723</c:v>
                </c:pt>
                <c:pt idx="37">
                  <c:v>1208385.1182133269</c:v>
                </c:pt>
                <c:pt idx="38">
                  <c:v>1179602.3223608674</c:v>
                </c:pt>
                <c:pt idx="39">
                  <c:v>1142635.2510852066</c:v>
                </c:pt>
                <c:pt idx="40">
                  <c:v>1154620.6456927636</c:v>
                </c:pt>
                <c:pt idx="41">
                  <c:v>1216009.1657292957</c:v>
                </c:pt>
                <c:pt idx="42">
                  <c:v>1155175.1954670239</c:v>
                </c:pt>
                <c:pt idx="43">
                  <c:v>1130593.9753133571</c:v>
                </c:pt>
                <c:pt idx="44">
                  <c:v>1120295.7183423568</c:v>
                </c:pt>
                <c:pt idx="45">
                  <c:v>1197033.9641950587</c:v>
                </c:pt>
                <c:pt idx="46">
                  <c:v>1160044.7635944528</c:v>
                </c:pt>
                <c:pt idx="47">
                  <c:v>1165761.2603440809</c:v>
                </c:pt>
                <c:pt idx="48">
                  <c:v>1167047.1876659777</c:v>
                </c:pt>
                <c:pt idx="49">
                  <c:v>1182900.0745205367</c:v>
                </c:pt>
                <c:pt idx="50">
                  <c:v>1194853.19475059</c:v>
                </c:pt>
                <c:pt idx="51">
                  <c:v>1160361.1112947115</c:v>
                </c:pt>
                <c:pt idx="52">
                  <c:v>1219950.3272755737</c:v>
                </c:pt>
                <c:pt idx="53">
                  <c:v>1151502.0274880982</c:v>
                </c:pt>
                <c:pt idx="54">
                  <c:v>1153609.9846862617</c:v>
                </c:pt>
                <c:pt idx="55">
                  <c:v>1138282.9521397869</c:v>
                </c:pt>
                <c:pt idx="56">
                  <c:v>1152538.9779633579</c:v>
                </c:pt>
                <c:pt idx="57">
                  <c:v>1189136.8204756994</c:v>
                </c:pt>
                <c:pt idx="58">
                  <c:v>1197817.4927487154</c:v>
                </c:pt>
                <c:pt idx="59">
                  <c:v>1169752.8452390118</c:v>
                </c:pt>
                <c:pt idx="60">
                  <c:v>1162160.5845597158</c:v>
                </c:pt>
                <c:pt idx="61">
                  <c:v>1135112.9180493425</c:v>
                </c:pt>
                <c:pt idx="62">
                  <c:v>1177387.6979599232</c:v>
                </c:pt>
                <c:pt idx="63">
                  <c:v>1133466.5037751079</c:v>
                </c:pt>
                <c:pt idx="64">
                  <c:v>1209081.9245281196</c:v>
                </c:pt>
                <c:pt idx="65">
                  <c:v>1164025.8002602595</c:v>
                </c:pt>
                <c:pt idx="66">
                  <c:v>1149332.5446124009</c:v>
                </c:pt>
                <c:pt idx="67">
                  <c:v>1156411.123985861</c:v>
                </c:pt>
                <c:pt idx="68">
                  <c:v>1180463.4362825188</c:v>
                </c:pt>
                <c:pt idx="69">
                  <c:v>1160364.6727905385</c:v>
                </c:pt>
                <c:pt idx="70">
                  <c:v>1225962.4080839446</c:v>
                </c:pt>
                <c:pt idx="71">
                  <c:v>1217776.0836234631</c:v>
                </c:pt>
                <c:pt idx="72">
                  <c:v>1137176.9594611265</c:v>
                </c:pt>
                <c:pt idx="73">
                  <c:v>1182098.6842826509</c:v>
                </c:pt>
                <c:pt idx="74">
                  <c:v>1177517.1572448208</c:v>
                </c:pt>
                <c:pt idx="75">
                  <c:v>1202460.1689207652</c:v>
                </c:pt>
                <c:pt idx="76">
                  <c:v>1186098.0089571383</c:v>
                </c:pt>
                <c:pt idx="77">
                  <c:v>1160698.9415818434</c:v>
                </c:pt>
                <c:pt idx="78">
                  <c:v>1136627.450370491</c:v>
                </c:pt>
                <c:pt idx="79">
                  <c:v>1133473.9378486848</c:v>
                </c:pt>
                <c:pt idx="80">
                  <c:v>1167190.0108039556</c:v>
                </c:pt>
                <c:pt idx="81">
                  <c:v>1201944.0633247122</c:v>
                </c:pt>
                <c:pt idx="82">
                  <c:v>1181246.1785624796</c:v>
                </c:pt>
                <c:pt idx="83">
                  <c:v>1223522.405178335</c:v>
                </c:pt>
                <c:pt idx="84">
                  <c:v>1138554.916041486</c:v>
                </c:pt>
                <c:pt idx="85">
                  <c:v>1124652.9272100576</c:v>
                </c:pt>
                <c:pt idx="86">
                  <c:v>1185712.4825680377</c:v>
                </c:pt>
                <c:pt idx="87">
                  <c:v>1197710.6607716924</c:v>
                </c:pt>
                <c:pt idx="88">
                  <c:v>1178515.5933283267</c:v>
                </c:pt>
                <c:pt idx="89">
                  <c:v>1191495.5013866101</c:v>
                </c:pt>
                <c:pt idx="90">
                  <c:v>1132065.23171622</c:v>
                </c:pt>
                <c:pt idx="91">
                  <c:v>1112490.0571250874</c:v>
                </c:pt>
                <c:pt idx="92">
                  <c:v>1129407.4916010222</c:v>
                </c:pt>
                <c:pt idx="93">
                  <c:v>1135934.0707222379</c:v>
                </c:pt>
                <c:pt idx="94">
                  <c:v>1154140.6142262712</c:v>
                </c:pt>
                <c:pt idx="95">
                  <c:v>1155443.7009455403</c:v>
                </c:pt>
                <c:pt idx="96">
                  <c:v>1191811.0270396946</c:v>
                </c:pt>
                <c:pt idx="97">
                  <c:v>1174121.6516726995</c:v>
                </c:pt>
                <c:pt idx="98">
                  <c:v>1154576.6771917904</c:v>
                </c:pt>
                <c:pt idx="99">
                  <c:v>1176946.692509617</c:v>
                </c:pt>
                <c:pt idx="100">
                  <c:v>1130976.2545285795</c:v>
                </c:pt>
                <c:pt idx="101">
                  <c:v>1172721.4569243782</c:v>
                </c:pt>
                <c:pt idx="102">
                  <c:v>1166787.5147994498</c:v>
                </c:pt>
                <c:pt idx="103">
                  <c:v>1115300.5114702238</c:v>
                </c:pt>
                <c:pt idx="104">
                  <c:v>1163648.7244292328</c:v>
                </c:pt>
                <c:pt idx="105">
                  <c:v>1193327.3140063894</c:v>
                </c:pt>
                <c:pt idx="106">
                  <c:v>1205610.1373640522</c:v>
                </c:pt>
                <c:pt idx="107">
                  <c:v>1169566.1833953683</c:v>
                </c:pt>
                <c:pt idx="108">
                  <c:v>1163036.0612207698</c:v>
                </c:pt>
                <c:pt idx="109">
                  <c:v>1180818.8781292783</c:v>
                </c:pt>
                <c:pt idx="110">
                  <c:v>1122759.8941649268</c:v>
                </c:pt>
                <c:pt idx="111">
                  <c:v>1140308.9522399767</c:v>
                </c:pt>
                <c:pt idx="112">
                  <c:v>1177378.2807587315</c:v>
                </c:pt>
                <c:pt idx="113">
                  <c:v>1171636.5792647966</c:v>
                </c:pt>
                <c:pt idx="114">
                  <c:v>1109302.1581094177</c:v>
                </c:pt>
                <c:pt idx="115">
                  <c:v>1194297.1635995426</c:v>
                </c:pt>
                <c:pt idx="116">
                  <c:v>1158231.1683288543</c:v>
                </c:pt>
                <c:pt idx="117">
                  <c:v>1117394.8910511816</c:v>
                </c:pt>
                <c:pt idx="118">
                  <c:v>1219302.9313801632</c:v>
                </c:pt>
                <c:pt idx="119">
                  <c:v>1177828.3643938256</c:v>
                </c:pt>
                <c:pt idx="120">
                  <c:v>1179295.7892935118</c:v>
                </c:pt>
                <c:pt idx="121">
                  <c:v>1182225.2531596397</c:v>
                </c:pt>
                <c:pt idx="122">
                  <c:v>1140875.5703666068</c:v>
                </c:pt>
                <c:pt idx="123">
                  <c:v>1129378.4357287649</c:v>
                </c:pt>
                <c:pt idx="124">
                  <c:v>1195513.6550060925</c:v>
                </c:pt>
                <c:pt idx="125">
                  <c:v>1167834.1430978987</c:v>
                </c:pt>
                <c:pt idx="126">
                  <c:v>1179982.7918099076</c:v>
                </c:pt>
                <c:pt idx="127">
                  <c:v>1207665.1951190946</c:v>
                </c:pt>
                <c:pt idx="128">
                  <c:v>1136763.3846034731</c:v>
                </c:pt>
                <c:pt idx="129">
                  <c:v>1164951.1275881897</c:v>
                </c:pt>
                <c:pt idx="130">
                  <c:v>1202217.4880542923</c:v>
                </c:pt>
                <c:pt idx="131">
                  <c:v>1199513.6866083387</c:v>
                </c:pt>
              </c:numCache>
            </c:numRef>
          </c:val>
          <c:smooth val="0"/>
        </c:ser>
        <c:ser>
          <c:idx val="1"/>
          <c:order val="1"/>
          <c:tx>
            <c:v>Potential Output</c:v>
          </c:tx>
          <c:spPr>
            <a:ln w="25400">
              <a:solidFill>
                <a:srgbClr val="993366"/>
              </a:solidFill>
              <a:prstDash val="solid"/>
            </a:ln>
          </c:spPr>
          <c:marker>
            <c:symbol val="none"/>
          </c:marker>
          <c:cat>
            <c:strRef>
              <c:f>[0]!Output_Potential_Time_Period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[0]!Output_Potential</c:f>
              <c:numCache>
                <c:formatCode>"$"#,##0_);[Red]\("$"#,##0\)</c:formatCode>
                <c:ptCount val="132"/>
                <c:pt idx="0">
                  <c:v>1166666.6666666667</c:v>
                </c:pt>
                <c:pt idx="1">
                  <c:v>1166666.6666666667</c:v>
                </c:pt>
                <c:pt idx="2">
                  <c:v>1166666.1798691018</c:v>
                </c:pt>
                <c:pt idx="3">
                  <c:v>1166659.5603848167</c:v>
                </c:pt>
                <c:pt idx="4">
                  <c:v>1166662.5773797636</c:v>
                </c:pt>
                <c:pt idx="5">
                  <c:v>1166676.6911798539</c:v>
                </c:pt>
                <c:pt idx="6">
                  <c:v>1166679.8035518089</c:v>
                </c:pt>
                <c:pt idx="7">
                  <c:v>1166684.0971819004</c:v>
                </c:pt>
                <c:pt idx="8">
                  <c:v>1166686.3573784959</c:v>
                </c:pt>
                <c:pt idx="9">
                  <c:v>1166690.2716867966</c:v>
                </c:pt>
                <c:pt idx="10">
                  <c:v>1166698.700421425</c:v>
                </c:pt>
                <c:pt idx="11">
                  <c:v>1166707.9537292814</c:v>
                </c:pt>
                <c:pt idx="12">
                  <c:v>1166719.8355527811</c:v>
                </c:pt>
                <c:pt idx="13">
                  <c:v>1166734.7542206601</c:v>
                </c:pt>
                <c:pt idx="14">
                  <c:v>1166745.8543474276</c:v>
                </c:pt>
                <c:pt idx="15">
                  <c:v>1166766.3048064189</c:v>
                </c:pt>
                <c:pt idx="16">
                  <c:v>1166778.5851750651</c:v>
                </c:pt>
                <c:pt idx="17">
                  <c:v>1166796.8037315996</c:v>
                </c:pt>
                <c:pt idx="18">
                  <c:v>1166824.5880356322</c:v>
                </c:pt>
                <c:pt idx="19">
                  <c:v>1166863.2687304087</c:v>
                </c:pt>
                <c:pt idx="20">
                  <c:v>1166888.8197678803</c:v>
                </c:pt>
                <c:pt idx="21">
                  <c:v>1166914.7284832529</c:v>
                </c:pt>
                <c:pt idx="22">
                  <c:v>1166948.0980168988</c:v>
                </c:pt>
                <c:pt idx="23">
                  <c:v>1166969.9403290616</c:v>
                </c:pt>
                <c:pt idx="24">
                  <c:v>1166994.8283219689</c:v>
                </c:pt>
                <c:pt idx="25">
                  <c:v>1167018.8628793329</c:v>
                </c:pt>
                <c:pt idx="26">
                  <c:v>1167048.1517363621</c:v>
                </c:pt>
                <c:pt idx="27">
                  <c:v>1167083.9856185697</c:v>
                </c:pt>
                <c:pt idx="28">
                  <c:v>1167122.4152296409</c:v>
                </c:pt>
                <c:pt idx="29">
                  <c:v>1167168.0518426425</c:v>
                </c:pt>
                <c:pt idx="30">
                  <c:v>1167220.6714606299</c:v>
                </c:pt>
                <c:pt idx="31">
                  <c:v>1167270.6533627475</c:v>
                </c:pt>
                <c:pt idx="32">
                  <c:v>1167315.7163815654</c:v>
                </c:pt>
                <c:pt idx="33">
                  <c:v>1167355.5959323689</c:v>
                </c:pt>
                <c:pt idx="34">
                  <c:v>1167401.0136285492</c:v>
                </c:pt>
                <c:pt idx="35">
                  <c:v>1167438.3217090904</c:v>
                </c:pt>
                <c:pt idx="36">
                  <c:v>1167474.7398328804</c:v>
                </c:pt>
                <c:pt idx="37">
                  <c:v>1167507.4188257814</c:v>
                </c:pt>
                <c:pt idx="38">
                  <c:v>1167538.0574071635</c:v>
                </c:pt>
                <c:pt idx="39">
                  <c:v>1167567.9958956202</c:v>
                </c:pt>
                <c:pt idx="40">
                  <c:v>1167589.5020073981</c:v>
                </c:pt>
                <c:pt idx="41">
                  <c:v>1167612.998448519</c:v>
                </c:pt>
                <c:pt idx="42">
                  <c:v>1167633.9685282363</c:v>
                </c:pt>
                <c:pt idx="43">
                  <c:v>1167657.7026812665</c:v>
                </c:pt>
                <c:pt idx="44">
                  <c:v>1167685.0577672608</c:v>
                </c:pt>
                <c:pt idx="45">
                  <c:v>1167713.0250293936</c:v>
                </c:pt>
                <c:pt idx="46">
                  <c:v>1167750.2857269053</c:v>
                </c:pt>
                <c:pt idx="47">
                  <c:v>1167780.4923456882</c:v>
                </c:pt>
                <c:pt idx="48">
                  <c:v>1167802.6988503486</c:v>
                </c:pt>
                <c:pt idx="49">
                  <c:v>1167833.7133537265</c:v>
                </c:pt>
                <c:pt idx="50">
                  <c:v>1167874.0549145772</c:v>
                </c:pt>
                <c:pt idx="51">
                  <c:v>1167907.5838009843</c:v>
                </c:pt>
                <c:pt idx="52">
                  <c:v>1167934.6387106564</c:v>
                </c:pt>
                <c:pt idx="53">
                  <c:v>1167963.1862910562</c:v>
                </c:pt>
                <c:pt idx="54">
                  <c:v>1167983.025738229</c:v>
                </c:pt>
                <c:pt idx="55">
                  <c:v>1167997.9977004572</c:v>
                </c:pt>
                <c:pt idx="56">
                  <c:v>1168011.7671001677</c:v>
                </c:pt>
                <c:pt idx="57">
                  <c:v>1168021.2050172165</c:v>
                </c:pt>
                <c:pt idx="58">
                  <c:v>1168039.88466716</c:v>
                </c:pt>
                <c:pt idx="59">
                  <c:v>1168052.187263258</c:v>
                </c:pt>
                <c:pt idx="60">
                  <c:v>1168073.1024105418</c:v>
                </c:pt>
                <c:pt idx="61">
                  <c:v>1168083.5415647912</c:v>
                </c:pt>
                <c:pt idx="62">
                  <c:v>1168100.1322963766</c:v>
                </c:pt>
                <c:pt idx="63">
                  <c:v>1168125.8245659648</c:v>
                </c:pt>
                <c:pt idx="64">
                  <c:v>1168149.2954704887</c:v>
                </c:pt>
                <c:pt idx="65">
                  <c:v>1168166.2421503407</c:v>
                </c:pt>
                <c:pt idx="66">
                  <c:v>1168194.5987414022</c:v>
                </c:pt>
                <c:pt idx="67">
                  <c:v>1168216.0856440957</c:v>
                </c:pt>
                <c:pt idx="68">
                  <c:v>1168243.9626349346</c:v>
                </c:pt>
                <c:pt idx="69">
                  <c:v>1168274.868325046</c:v>
                </c:pt>
                <c:pt idx="70">
                  <c:v>1168313.6072775749</c:v>
                </c:pt>
                <c:pt idx="71">
                  <c:v>1168349.3206520183</c:v>
                </c:pt>
                <c:pt idx="72">
                  <c:v>1168376.1622364316</c:v>
                </c:pt>
                <c:pt idx="73">
                  <c:v>1168403.4145813175</c:v>
                </c:pt>
                <c:pt idx="74">
                  <c:v>1168426.9303466568</c:v>
                </c:pt>
                <c:pt idx="75">
                  <c:v>1168446.4688042125</c:v>
                </c:pt>
                <c:pt idx="76">
                  <c:v>1168462.4751160443</c:v>
                </c:pt>
                <c:pt idx="77">
                  <c:v>1168476.3116673194</c:v>
                </c:pt>
                <c:pt idx="78">
                  <c:v>1168494.6450391358</c:v>
                </c:pt>
                <c:pt idx="79">
                  <c:v>1168508.4348386726</c:v>
                </c:pt>
                <c:pt idx="80">
                  <c:v>1168515.6974638919</c:v>
                </c:pt>
                <c:pt idx="81">
                  <c:v>1168516.0946709674</c:v>
                </c:pt>
                <c:pt idx="82">
                  <c:v>1168515.6168845508</c:v>
                </c:pt>
                <c:pt idx="83">
                  <c:v>1168507.949781023</c:v>
                </c:pt>
                <c:pt idx="84">
                  <c:v>1168505.8047302081</c:v>
                </c:pt>
                <c:pt idx="85">
                  <c:v>1168506.4256703116</c:v>
                </c:pt>
                <c:pt idx="86">
                  <c:v>1168498.4624579737</c:v>
                </c:pt>
                <c:pt idx="87">
                  <c:v>1168481.2215479317</c:v>
                </c:pt>
                <c:pt idx="88">
                  <c:v>1168458.8877692195</c:v>
                </c:pt>
                <c:pt idx="89">
                  <c:v>1168433.9698508719</c:v>
                </c:pt>
                <c:pt idx="90">
                  <c:v>1168405.7390536391</c:v>
                </c:pt>
                <c:pt idx="91">
                  <c:v>1168377.5732873457</c:v>
                </c:pt>
                <c:pt idx="92">
                  <c:v>1168355.6886781484</c:v>
                </c:pt>
                <c:pt idx="93">
                  <c:v>1168337.5762360948</c:v>
                </c:pt>
                <c:pt idx="94">
                  <c:v>1168324.0893372577</c:v>
                </c:pt>
                <c:pt idx="95">
                  <c:v>1168307.6451018979</c:v>
                </c:pt>
                <c:pt idx="96">
                  <c:v>1168291.6171200727</c:v>
                </c:pt>
                <c:pt idx="97">
                  <c:v>1168282.7990557386</c:v>
                </c:pt>
                <c:pt idx="98">
                  <c:v>1168276.8515654455</c:v>
                </c:pt>
                <c:pt idx="99">
                  <c:v>1168273.3802887574</c:v>
                </c:pt>
                <c:pt idx="100">
                  <c:v>1168259.9542263744</c:v>
                </c:pt>
                <c:pt idx="101">
                  <c:v>1168237.8780783308</c:v>
                </c:pt>
                <c:pt idx="102">
                  <c:v>1168213.5556734372</c:v>
                </c:pt>
                <c:pt idx="103">
                  <c:v>1168191.5646508192</c:v>
                </c:pt>
                <c:pt idx="104">
                  <c:v>1168163.8125737943</c:v>
                </c:pt>
                <c:pt idx="105">
                  <c:v>1168130.7435352213</c:v>
                </c:pt>
                <c:pt idx="106">
                  <c:v>1168100.1499649487</c:v>
                </c:pt>
                <c:pt idx="107">
                  <c:v>1168071.4058531506</c:v>
                </c:pt>
                <c:pt idx="108">
                  <c:v>1168048.1879931414</c:v>
                </c:pt>
                <c:pt idx="109">
                  <c:v>1168013.4775275709</c:v>
                </c:pt>
                <c:pt idx="110">
                  <c:v>1167982.5333586396</c:v>
                </c:pt>
                <c:pt idx="111">
                  <c:v>1167948.3260501688</c:v>
                </c:pt>
                <c:pt idx="112">
                  <c:v>1167908.0269273436</c:v>
                </c:pt>
                <c:pt idx="113">
                  <c:v>1167873.9142192749</c:v>
                </c:pt>
                <c:pt idx="114">
                  <c:v>1167840.0200935109</c:v>
                </c:pt>
                <c:pt idx="115">
                  <c:v>1167798.8313311248</c:v>
                </c:pt>
                <c:pt idx="116">
                  <c:v>1167766.9964048469</c:v>
                </c:pt>
                <c:pt idx="117">
                  <c:v>1167739.3858332629</c:v>
                </c:pt>
                <c:pt idx="118">
                  <c:v>1167703.8211599791</c:v>
                </c:pt>
                <c:pt idx="119">
                  <c:v>1167671.8944686549</c:v>
                </c:pt>
                <c:pt idx="120">
                  <c:v>1167641.8704568837</c:v>
                </c:pt>
                <c:pt idx="121">
                  <c:v>1167619.4776474475</c:v>
                </c:pt>
                <c:pt idx="122">
                  <c:v>1167588.6187877071</c:v>
                </c:pt>
                <c:pt idx="123">
                  <c:v>1167550.3684237066</c:v>
                </c:pt>
                <c:pt idx="124">
                  <c:v>1167515.63246851</c:v>
                </c:pt>
                <c:pt idx="125">
                  <c:v>1167474.332803692</c:v>
                </c:pt>
                <c:pt idx="126">
                  <c:v>1167442.6711813835</c:v>
                </c:pt>
                <c:pt idx="127">
                  <c:v>1167408.7204736776</c:v>
                </c:pt>
                <c:pt idx="128">
                  <c:v>1167364.5046313712</c:v>
                </c:pt>
                <c:pt idx="129">
                  <c:v>1167323.6798489415</c:v>
                </c:pt>
                <c:pt idx="130">
                  <c:v>1167273.1333839542</c:v>
                </c:pt>
                <c:pt idx="131">
                  <c:v>1167230.8286007519</c:v>
                </c:pt>
              </c:numCache>
            </c:numRef>
          </c:val>
          <c:smooth val="0"/>
        </c:ser>
        <c:dLbls>
          <c:showLegendKey val="0"/>
          <c:showVal val="0"/>
          <c:showCatName val="0"/>
          <c:showSerName val="0"/>
          <c:showPercent val="0"/>
          <c:showBubbleSize val="0"/>
        </c:dLbls>
        <c:smooth val="0"/>
        <c:axId val="304289432"/>
        <c:axId val="304289824"/>
      </c:lineChart>
      <c:catAx>
        <c:axId val="304289432"/>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304289824"/>
        <c:crosses val="autoZero"/>
        <c:auto val="0"/>
        <c:lblAlgn val="ctr"/>
        <c:lblOffset val="100"/>
        <c:tickLblSkip val="3"/>
        <c:tickMarkSkip val="1"/>
        <c:noMultiLvlLbl val="0"/>
      </c:catAx>
      <c:valAx>
        <c:axId val="304289824"/>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 millions</a:t>
                </a:r>
              </a:p>
            </c:rich>
          </c:tx>
          <c:layout>
            <c:manualLayout>
              <c:xMode val="edge"/>
              <c:yMode val="edge"/>
              <c:x val="2.0408117162025188E-2"/>
              <c:y val="0.2298506436695413"/>
            </c:manualLayout>
          </c:layout>
          <c:overlay val="0"/>
          <c:spPr>
            <a:noFill/>
            <a:ln w="25400">
              <a:noFill/>
            </a:ln>
          </c:spPr>
        </c:title>
        <c:numFmt formatCode="\$#,##0_);[Red]\(\$#,##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tr-TR"/>
          </a:p>
        </c:txPr>
        <c:crossAx val="304289432"/>
        <c:crosses val="autoZero"/>
        <c:crossBetween val="between"/>
      </c:valAx>
      <c:spPr>
        <a:solidFill>
          <a:srgbClr val="FFFFFF"/>
        </a:solidFill>
        <a:ln w="25400">
          <a:noFill/>
        </a:ln>
      </c:spPr>
    </c:plotArea>
    <c:legend>
      <c:legendPos val="r"/>
      <c:layout>
        <c:manualLayout>
          <c:xMode val="edge"/>
          <c:yMode val="edge"/>
          <c:x val="0.34353739191434596"/>
          <c:y val="0.89253718285214345"/>
          <c:w val="0.39455780371734395"/>
          <c:h val="6.567179102612175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44" l="0.70000000000000062" r="0.70000000000000062" t="0.75000000000000144"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Income</a:t>
            </a:r>
          </a:p>
        </c:rich>
      </c:tx>
      <c:layout>
        <c:manualLayout>
          <c:xMode val="edge"/>
          <c:yMode val="edge"/>
          <c:x val="0.46145120874613216"/>
          <c:y val="5.6716347956505438E-2"/>
        </c:manualLayout>
      </c:layout>
      <c:overlay val="0"/>
      <c:spPr>
        <a:solidFill>
          <a:srgbClr val="FFFFFF"/>
        </a:solidFill>
        <a:ln w="25400">
          <a:noFill/>
        </a:ln>
      </c:spPr>
    </c:title>
    <c:autoTitleDeleted val="0"/>
    <c:plotArea>
      <c:layout>
        <c:manualLayout>
          <c:layoutTarget val="inner"/>
          <c:xMode val="edge"/>
          <c:yMode val="edge"/>
          <c:x val="0.18253968253968253"/>
          <c:y val="9.5522388059701493E-2"/>
          <c:w val="0.78004535147392295"/>
          <c:h val="0.5074626865671642"/>
        </c:manualLayout>
      </c:layout>
      <c:lineChart>
        <c:grouping val="standard"/>
        <c:varyColors val="0"/>
        <c:ser>
          <c:idx val="0"/>
          <c:order val="0"/>
          <c:tx>
            <c:v>Consumption</c:v>
          </c:tx>
          <c:spPr>
            <a:ln w="25400">
              <a:solidFill>
                <a:srgbClr val="000000"/>
              </a:solidFill>
              <a:prstDash val="solid"/>
            </a:ln>
          </c:spPr>
          <c:marker>
            <c:symbol val="none"/>
          </c:marker>
          <c:cat>
            <c:strRef>
              <c:f>[0]!Consumption_Time_Period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[0]!Consumption</c:f>
              <c:numCache>
                <c:formatCode>"$"#,##0_);[Red]\("$"#,##0\)</c:formatCode>
                <c:ptCount val="132"/>
                <c:pt idx="0">
                  <c:v>728000</c:v>
                </c:pt>
                <c:pt idx="1">
                  <c:v>728037.29786648613</c:v>
                </c:pt>
                <c:pt idx="2">
                  <c:v>728056.14826905227</c:v>
                </c:pt>
                <c:pt idx="3">
                  <c:v>728104.27679268376</c:v>
                </c:pt>
                <c:pt idx="4">
                  <c:v>728083.867468599</c:v>
                </c:pt>
                <c:pt idx="5">
                  <c:v>728163.00742718275</c:v>
                </c:pt>
                <c:pt idx="6">
                  <c:v>728204.11891653342</c:v>
                </c:pt>
                <c:pt idx="7">
                  <c:v>728285.10302619811</c:v>
                </c:pt>
                <c:pt idx="8">
                  <c:v>728261.80456213723</c:v>
                </c:pt>
                <c:pt idx="9">
                  <c:v>728284.97796363244</c:v>
                </c:pt>
                <c:pt idx="10">
                  <c:v>728317.20933972311</c:v>
                </c:pt>
                <c:pt idx="11">
                  <c:v>728315.26061949763</c:v>
                </c:pt>
                <c:pt idx="12">
                  <c:v>728265.98572606919</c:v>
                </c:pt>
                <c:pt idx="13">
                  <c:v>728260.11851221242</c:v>
                </c:pt>
                <c:pt idx="14">
                  <c:v>728209.50624857622</c:v>
                </c:pt>
                <c:pt idx="15">
                  <c:v>728195.65536847257</c:v>
                </c:pt>
                <c:pt idx="16">
                  <c:v>728195.77275938448</c:v>
                </c:pt>
                <c:pt idx="17">
                  <c:v>728231.66610992583</c:v>
                </c:pt>
                <c:pt idx="18">
                  <c:v>728195.2507504496</c:v>
                </c:pt>
                <c:pt idx="19">
                  <c:v>728213.71605909511</c:v>
                </c:pt>
                <c:pt idx="20">
                  <c:v>728239.26893140248</c:v>
                </c:pt>
                <c:pt idx="21">
                  <c:v>728211.77406678477</c:v>
                </c:pt>
                <c:pt idx="22">
                  <c:v>728193.71261201333</c:v>
                </c:pt>
                <c:pt idx="23">
                  <c:v>728170.25783932488</c:v>
                </c:pt>
                <c:pt idx="24">
                  <c:v>728162.32555863832</c:v>
                </c:pt>
                <c:pt idx="25">
                  <c:v>728120.99907298072</c:v>
                </c:pt>
                <c:pt idx="26">
                  <c:v>728155.27192836767</c:v>
                </c:pt>
                <c:pt idx="27">
                  <c:v>728249.32635996188</c:v>
                </c:pt>
                <c:pt idx="28">
                  <c:v>728241.90403256298</c:v>
                </c:pt>
                <c:pt idx="29">
                  <c:v>728186.64945713978</c:v>
                </c:pt>
                <c:pt idx="30">
                  <c:v>728137.39026907156</c:v>
                </c:pt>
                <c:pt idx="31">
                  <c:v>728171.58779593359</c:v>
                </c:pt>
                <c:pt idx="32">
                  <c:v>728131.31334441609</c:v>
                </c:pt>
                <c:pt idx="33">
                  <c:v>728047.97413647303</c:v>
                </c:pt>
                <c:pt idx="34">
                  <c:v>728096.55213402014</c:v>
                </c:pt>
                <c:pt idx="35">
                  <c:v>728123.80390661489</c:v>
                </c:pt>
                <c:pt idx="36">
                  <c:v>728145.62887391599</c:v>
                </c:pt>
                <c:pt idx="37">
                  <c:v>728161.86351524119</c:v>
                </c:pt>
                <c:pt idx="38">
                  <c:v>728224.68687921134</c:v>
                </c:pt>
                <c:pt idx="39">
                  <c:v>728243.68182679417</c:v>
                </c:pt>
                <c:pt idx="40">
                  <c:v>728206.55728586565</c:v>
                </c:pt>
                <c:pt idx="41">
                  <c:v>728187.71371715004</c:v>
                </c:pt>
                <c:pt idx="42">
                  <c:v>728262.02841373626</c:v>
                </c:pt>
                <c:pt idx="43">
                  <c:v>728243.87182571203</c:v>
                </c:pt>
                <c:pt idx="44">
                  <c:v>728188.48415542138</c:v>
                </c:pt>
                <c:pt idx="45">
                  <c:v>728117.63131669781</c:v>
                </c:pt>
                <c:pt idx="46">
                  <c:v>728163.36163095839</c:v>
                </c:pt>
                <c:pt idx="47">
                  <c:v>728152.86462899065</c:v>
                </c:pt>
                <c:pt idx="48">
                  <c:v>728151.06680543197</c:v>
                </c:pt>
                <c:pt idx="49">
                  <c:v>728151.22429893247</c:v>
                </c:pt>
                <c:pt idx="50">
                  <c:v>728175.42490001384</c:v>
                </c:pt>
                <c:pt idx="51">
                  <c:v>728217.68717621884</c:v>
                </c:pt>
                <c:pt idx="52">
                  <c:v>728207.51906397077</c:v>
                </c:pt>
                <c:pt idx="53">
                  <c:v>728287.75617404992</c:v>
                </c:pt>
                <c:pt idx="54">
                  <c:v>728263.95714859001</c:v>
                </c:pt>
                <c:pt idx="55">
                  <c:v>728243.42129995138</c:v>
                </c:pt>
                <c:pt idx="56">
                  <c:v>728199.69649597467</c:v>
                </c:pt>
                <c:pt idx="57">
                  <c:v>728177.71478895238</c:v>
                </c:pt>
                <c:pt idx="58">
                  <c:v>728211.30087003787</c:v>
                </c:pt>
                <c:pt idx="59">
                  <c:v>728257.95934273454</c:v>
                </c:pt>
                <c:pt idx="60">
                  <c:v>728261.92349317274</c:v>
                </c:pt>
                <c:pt idx="61">
                  <c:v>728254.36170338502</c:v>
                </c:pt>
                <c:pt idx="62">
                  <c:v>728205.79862436163</c:v>
                </c:pt>
                <c:pt idx="63">
                  <c:v>728221.48719231086</c:v>
                </c:pt>
                <c:pt idx="64">
                  <c:v>728170.51836972451</c:v>
                </c:pt>
                <c:pt idx="65">
                  <c:v>728234.37451534299</c:v>
                </c:pt>
                <c:pt idx="66">
                  <c:v>728229.71816097281</c:v>
                </c:pt>
                <c:pt idx="67">
                  <c:v>728202.78996985452</c:v>
                </c:pt>
                <c:pt idx="68">
                  <c:v>728186.67242465005</c:v>
                </c:pt>
                <c:pt idx="69">
                  <c:v>728207.07899072114</c:v>
                </c:pt>
                <c:pt idx="70">
                  <c:v>728196.94574725698</c:v>
                </c:pt>
                <c:pt idx="71">
                  <c:v>728286.33055021975</c:v>
                </c:pt>
                <c:pt idx="72">
                  <c:v>728363.0511366314</c:v>
                </c:pt>
                <c:pt idx="73">
                  <c:v>728317.31660532334</c:v>
                </c:pt>
                <c:pt idx="74">
                  <c:v>728339.84039702616</c:v>
                </c:pt>
                <c:pt idx="75">
                  <c:v>728355.35297330027</c:v>
                </c:pt>
                <c:pt idx="76">
                  <c:v>728408.65269345976</c:v>
                </c:pt>
                <c:pt idx="77">
                  <c:v>728436.98841622949</c:v>
                </c:pt>
                <c:pt idx="78">
                  <c:v>728426.72350980586</c:v>
                </c:pt>
                <c:pt idx="79">
                  <c:v>728379.97868867381</c:v>
                </c:pt>
                <c:pt idx="80">
                  <c:v>728328.58088694245</c:v>
                </c:pt>
                <c:pt idx="81">
                  <c:v>728328.46190086473</c:v>
                </c:pt>
                <c:pt idx="82">
                  <c:v>728381.05355829361</c:v>
                </c:pt>
                <c:pt idx="83">
                  <c:v>728402.10733589588</c:v>
                </c:pt>
                <c:pt idx="84">
                  <c:v>728487.22157448332</c:v>
                </c:pt>
                <c:pt idx="85">
                  <c:v>728443.23202610598</c:v>
                </c:pt>
                <c:pt idx="86">
                  <c:v>728378.27998785768</c:v>
                </c:pt>
                <c:pt idx="87">
                  <c:v>728406.1153642307</c:v>
                </c:pt>
                <c:pt idx="88">
                  <c:v>728452.07065705594</c:v>
                </c:pt>
                <c:pt idx="89">
                  <c:v>728468.78577733436</c:v>
                </c:pt>
                <c:pt idx="90">
                  <c:v>728505.14066061145</c:v>
                </c:pt>
                <c:pt idx="91">
                  <c:v>728451.25864910148</c:v>
                </c:pt>
                <c:pt idx="92">
                  <c:v>728367.83729504934</c:v>
                </c:pt>
                <c:pt idx="93">
                  <c:v>728310.30577593576</c:v>
                </c:pt>
                <c:pt idx="94">
                  <c:v>728262.83271159802</c:v>
                </c:pt>
                <c:pt idx="95">
                  <c:v>728243.10477453121</c:v>
                </c:pt>
                <c:pt idx="96">
                  <c:v>728225.40798548039</c:v>
                </c:pt>
                <c:pt idx="97">
                  <c:v>728262.91746541986</c:v>
                </c:pt>
                <c:pt idx="98">
                  <c:v>728273.49386638624</c:v>
                </c:pt>
                <c:pt idx="99">
                  <c:v>728254.39767716487</c:v>
                </c:pt>
                <c:pt idx="100">
                  <c:v>728269.28238947899</c:v>
                </c:pt>
                <c:pt idx="101">
                  <c:v>728214.40392443223</c:v>
                </c:pt>
                <c:pt idx="102">
                  <c:v>728222.99145653297</c:v>
                </c:pt>
                <c:pt idx="103">
                  <c:v>728222.55532215512</c:v>
                </c:pt>
                <c:pt idx="104">
                  <c:v>728144.03177754558</c:v>
                </c:pt>
                <c:pt idx="105">
                  <c:v>728139.05447688117</c:v>
                </c:pt>
                <c:pt idx="106">
                  <c:v>728179.10352957738</c:v>
                </c:pt>
                <c:pt idx="107">
                  <c:v>728237.67028366402</c:v>
                </c:pt>
                <c:pt idx="108">
                  <c:v>728241.40768880339</c:v>
                </c:pt>
                <c:pt idx="109">
                  <c:v>728235.23069363041</c:v>
                </c:pt>
                <c:pt idx="110">
                  <c:v>728256.041462422</c:v>
                </c:pt>
                <c:pt idx="111">
                  <c:v>728188.73829784326</c:v>
                </c:pt>
                <c:pt idx="112">
                  <c:v>728148.23815791321</c:v>
                </c:pt>
                <c:pt idx="113">
                  <c:v>728164.07233329199</c:v>
                </c:pt>
                <c:pt idx="114">
                  <c:v>728171.1542775844</c:v>
                </c:pt>
                <c:pt idx="115">
                  <c:v>728083.6760110571</c:v>
                </c:pt>
                <c:pt idx="116">
                  <c:v>728125.34983137459</c:v>
                </c:pt>
                <c:pt idx="117">
                  <c:v>728112.20779825293</c:v>
                </c:pt>
                <c:pt idx="118">
                  <c:v>728037.16725024092</c:v>
                </c:pt>
                <c:pt idx="119">
                  <c:v>728116.89567602798</c:v>
                </c:pt>
                <c:pt idx="120">
                  <c:v>728133.49954070302</c:v>
                </c:pt>
                <c:pt idx="121">
                  <c:v>728152.28287796292</c:v>
                </c:pt>
                <c:pt idx="122">
                  <c:v>728175.45705948293</c:v>
                </c:pt>
                <c:pt idx="123">
                  <c:v>728135.85318270698</c:v>
                </c:pt>
                <c:pt idx="124">
                  <c:v>728078.92199583258</c:v>
                </c:pt>
                <c:pt idx="125">
                  <c:v>728122.4540337146</c:v>
                </c:pt>
                <c:pt idx="126">
                  <c:v>728123.88455620827</c:v>
                </c:pt>
                <c:pt idx="127">
                  <c:v>728143.73655557493</c:v>
                </c:pt>
                <c:pt idx="128">
                  <c:v>728205.5183888512</c:v>
                </c:pt>
                <c:pt idx="129">
                  <c:v>728159.5941933085</c:v>
                </c:pt>
                <c:pt idx="130">
                  <c:v>728156.54897516919</c:v>
                </c:pt>
                <c:pt idx="131">
                  <c:v>728210.03286267596</c:v>
                </c:pt>
              </c:numCache>
            </c:numRef>
          </c:val>
          <c:smooth val="0"/>
        </c:ser>
        <c:ser>
          <c:idx val="1"/>
          <c:order val="1"/>
          <c:tx>
            <c:v>Current Disposable Income</c:v>
          </c:tx>
          <c:spPr>
            <a:ln w="25400">
              <a:solidFill>
                <a:srgbClr val="993366"/>
              </a:solidFill>
              <a:prstDash val="solid"/>
            </a:ln>
          </c:spPr>
          <c:marker>
            <c:symbol val="none"/>
          </c:marker>
          <c:cat>
            <c:strRef>
              <c:f>[0]!Consumption_Time_Period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[0]!Income_Current_Disposable</c:f>
              <c:numCache>
                <c:formatCode>"$"#,##0_);[Red]\("$"#,##0\)</c:formatCode>
                <c:ptCount val="132"/>
                <c:pt idx="0">
                  <c:v>950547.73324998212</c:v>
                </c:pt>
                <c:pt idx="1">
                  <c:v>942081.33691061195</c:v>
                </c:pt>
                <c:pt idx="2">
                  <c:v>955618.48304665787</c:v>
                </c:pt>
                <c:pt idx="3">
                  <c:v>924047.33348994213</c:v>
                </c:pt>
                <c:pt idx="4">
                  <c:v>969966.99045992643</c:v>
                </c:pt>
                <c:pt idx="5">
                  <c:v>952516.85076082824</c:v>
                </c:pt>
                <c:pt idx="6">
                  <c:v>970972.30563565157</c:v>
                </c:pt>
                <c:pt idx="7">
                  <c:v>922945.71277470211</c:v>
                </c:pt>
                <c:pt idx="8">
                  <c:v>944364.39628263679</c:v>
                </c:pt>
                <c:pt idx="9">
                  <c:v>948574.70943111274</c:v>
                </c:pt>
                <c:pt idx="10">
                  <c:v>932840.60263914033</c:v>
                </c:pt>
                <c:pt idx="11">
                  <c:v>910995.25510932296</c:v>
                </c:pt>
                <c:pt idx="12">
                  <c:v>930966.39581747516</c:v>
                </c:pt>
                <c:pt idx="13">
                  <c:v>910307.3123117697</c:v>
                </c:pt>
                <c:pt idx="14">
                  <c:v>927209.21719393134</c:v>
                </c:pt>
                <c:pt idx="15">
                  <c:v>933638.35397023708</c:v>
                </c:pt>
                <c:pt idx="16">
                  <c:v>950150.48583876621</c:v>
                </c:pt>
                <c:pt idx="17">
                  <c:v>916823.25217755535</c:v>
                </c:pt>
                <c:pt idx="18">
                  <c:v>942106.10495238774</c:v>
                </c:pt>
                <c:pt idx="19">
                  <c:v>945400.96165352315</c:v>
                </c:pt>
                <c:pt idx="20">
                  <c:v>920950.15085769957</c:v>
                </c:pt>
                <c:pt idx="21">
                  <c:v>925268.78249878227</c:v>
                </c:pt>
                <c:pt idx="22">
                  <c:v>922756.40313358745</c:v>
                </c:pt>
                <c:pt idx="23">
                  <c:v>929890.55998995528</c:v>
                </c:pt>
                <c:pt idx="24">
                  <c:v>914467.68041267991</c:v>
                </c:pt>
                <c:pt idx="25">
                  <c:v>949306.70129775745</c:v>
                </c:pt>
                <c:pt idx="26">
                  <c:v>976942.13756705564</c:v>
                </c:pt>
                <c:pt idx="27">
                  <c:v>930227.29294403526</c:v>
                </c:pt>
                <c:pt idx="28">
                  <c:v>908141.35497466801</c:v>
                </c:pt>
                <c:pt idx="29">
                  <c:v>910837.61763149127</c:v>
                </c:pt>
                <c:pt idx="30">
                  <c:v>949292.94864025712</c:v>
                </c:pt>
                <c:pt idx="31">
                  <c:v>914965.10929440171</c:v>
                </c:pt>
                <c:pt idx="32">
                  <c:v>895037.43395506591</c:v>
                </c:pt>
                <c:pt idx="33">
                  <c:v>955815.45288899541</c:v>
                </c:pt>
                <c:pt idx="34">
                  <c:v>946034.85931808618</c:v>
                </c:pt>
                <c:pt idx="35">
                  <c:v>943565.11812180094</c:v>
                </c:pt>
                <c:pt idx="36">
                  <c:v>941012.94839869719</c:v>
                </c:pt>
                <c:pt idx="37">
                  <c:v>962536.24941599555</c:v>
                </c:pt>
                <c:pt idx="38">
                  <c:v>942388.29231927381</c:v>
                </c:pt>
                <c:pt idx="39">
                  <c:v>916511.34242631122</c:v>
                </c:pt>
                <c:pt idx="40">
                  <c:v>924901.11865160125</c:v>
                </c:pt>
                <c:pt idx="41">
                  <c:v>967873.08267717366</c:v>
                </c:pt>
                <c:pt idx="42">
                  <c:v>925289.30349358334</c:v>
                </c:pt>
                <c:pt idx="43">
                  <c:v>908082.4493860167</c:v>
                </c:pt>
                <c:pt idx="44">
                  <c:v>900873.66950631654</c:v>
                </c:pt>
                <c:pt idx="45">
                  <c:v>954590.44160320773</c:v>
                </c:pt>
                <c:pt idx="46">
                  <c:v>928698.00118278363</c:v>
                </c:pt>
                <c:pt idx="47">
                  <c:v>932699.54890752328</c:v>
                </c:pt>
                <c:pt idx="48">
                  <c:v>933599.6980328511</c:v>
                </c:pt>
                <c:pt idx="49">
                  <c:v>944696.71883104229</c:v>
                </c:pt>
                <c:pt idx="50">
                  <c:v>953063.90299207973</c:v>
                </c:pt>
                <c:pt idx="51">
                  <c:v>928919.44457296468</c:v>
                </c:pt>
                <c:pt idx="52">
                  <c:v>970631.89575956832</c:v>
                </c:pt>
                <c:pt idx="53">
                  <c:v>922718.0859083354</c:v>
                </c:pt>
                <c:pt idx="54">
                  <c:v>924193.65594704985</c:v>
                </c:pt>
                <c:pt idx="55">
                  <c:v>913464.73316451744</c:v>
                </c:pt>
                <c:pt idx="56">
                  <c:v>923443.95124101732</c:v>
                </c:pt>
                <c:pt idx="57">
                  <c:v>949062.44099965622</c:v>
                </c:pt>
                <c:pt idx="58">
                  <c:v>955138.91159076756</c:v>
                </c:pt>
                <c:pt idx="59">
                  <c:v>935493.65833397489</c:v>
                </c:pt>
                <c:pt idx="60">
                  <c:v>930179.07585846772</c:v>
                </c:pt>
                <c:pt idx="61">
                  <c:v>911245.70930120628</c:v>
                </c:pt>
                <c:pt idx="62">
                  <c:v>940838.05523861293</c:v>
                </c:pt>
                <c:pt idx="63">
                  <c:v>910093.21930924221</c:v>
                </c:pt>
                <c:pt idx="64">
                  <c:v>963024.01383635029</c:v>
                </c:pt>
                <c:pt idx="65">
                  <c:v>931484.7268488484</c:v>
                </c:pt>
                <c:pt idx="66">
                  <c:v>921199.44789534737</c:v>
                </c:pt>
                <c:pt idx="67">
                  <c:v>926154.45345676923</c:v>
                </c:pt>
                <c:pt idx="68">
                  <c:v>942991.07206442975</c:v>
                </c:pt>
                <c:pt idx="69">
                  <c:v>928921.93762004352</c:v>
                </c:pt>
                <c:pt idx="70">
                  <c:v>974840.35232542781</c:v>
                </c:pt>
                <c:pt idx="71">
                  <c:v>969109.92520309077</c:v>
                </c:pt>
                <c:pt idx="72">
                  <c:v>912690.53828945523</c:v>
                </c:pt>
                <c:pt idx="73">
                  <c:v>944135.74566452228</c:v>
                </c:pt>
                <c:pt idx="74">
                  <c:v>940928.67673804122</c:v>
                </c:pt>
                <c:pt idx="75">
                  <c:v>958388.78491120227</c:v>
                </c:pt>
                <c:pt idx="76">
                  <c:v>946935.27293666336</c:v>
                </c:pt>
                <c:pt idx="77">
                  <c:v>929155.92577395705</c:v>
                </c:pt>
                <c:pt idx="78">
                  <c:v>912305.88192601036</c:v>
                </c:pt>
                <c:pt idx="79">
                  <c:v>910098.423160746</c:v>
                </c:pt>
                <c:pt idx="80">
                  <c:v>933699.67422943562</c:v>
                </c:pt>
                <c:pt idx="81">
                  <c:v>958027.5109939652</c:v>
                </c:pt>
                <c:pt idx="82">
                  <c:v>943538.99166040239</c:v>
                </c:pt>
                <c:pt idx="83">
                  <c:v>973132.35029150127</c:v>
                </c:pt>
                <c:pt idx="84">
                  <c:v>913655.10789570678</c:v>
                </c:pt>
                <c:pt idx="85">
                  <c:v>903923.71571370703</c:v>
                </c:pt>
                <c:pt idx="86">
                  <c:v>946665.40446429304</c:v>
                </c:pt>
                <c:pt idx="87">
                  <c:v>955064.12920685136</c:v>
                </c:pt>
                <c:pt idx="88">
                  <c:v>941627.58199649537</c:v>
                </c:pt>
                <c:pt idx="89">
                  <c:v>950713.51763729379</c:v>
                </c:pt>
                <c:pt idx="90">
                  <c:v>909112.32886802079</c:v>
                </c:pt>
                <c:pt idx="91">
                  <c:v>895409.7066542278</c:v>
                </c:pt>
                <c:pt idx="92">
                  <c:v>907251.91078738216</c:v>
                </c:pt>
                <c:pt idx="93">
                  <c:v>911820.51617223327</c:v>
                </c:pt>
                <c:pt idx="94">
                  <c:v>924565.09662505658</c:v>
                </c:pt>
                <c:pt idx="95">
                  <c:v>925477.25732854498</c:v>
                </c:pt>
                <c:pt idx="96">
                  <c:v>950934.38559445296</c:v>
                </c:pt>
                <c:pt idx="97">
                  <c:v>938551.82283755625</c:v>
                </c:pt>
                <c:pt idx="98">
                  <c:v>924870.34070091997</c:v>
                </c:pt>
                <c:pt idx="99">
                  <c:v>940529.35142339859</c:v>
                </c:pt>
                <c:pt idx="100">
                  <c:v>908350.04483667226</c:v>
                </c:pt>
                <c:pt idx="101">
                  <c:v>937571.68651373149</c:v>
                </c:pt>
                <c:pt idx="102">
                  <c:v>933417.9270262816</c:v>
                </c:pt>
                <c:pt idx="103">
                  <c:v>897377.0246958232</c:v>
                </c:pt>
                <c:pt idx="104">
                  <c:v>931220.77376712952</c:v>
                </c:pt>
                <c:pt idx="105">
                  <c:v>951995.78647113917</c:v>
                </c:pt>
                <c:pt idx="106">
                  <c:v>960593.76282150322</c:v>
                </c:pt>
                <c:pt idx="107">
                  <c:v>935362.99504342442</c:v>
                </c:pt>
                <c:pt idx="108">
                  <c:v>930791.90952120558</c:v>
                </c:pt>
                <c:pt idx="109">
                  <c:v>943239.88135716156</c:v>
                </c:pt>
                <c:pt idx="110">
                  <c:v>902598.59258211544</c:v>
                </c:pt>
                <c:pt idx="111">
                  <c:v>914882.93323465041</c:v>
                </c:pt>
                <c:pt idx="112">
                  <c:v>940831.46319777868</c:v>
                </c:pt>
                <c:pt idx="113">
                  <c:v>936812.27215202432</c:v>
                </c:pt>
                <c:pt idx="114">
                  <c:v>893178.1773432591</c:v>
                </c:pt>
                <c:pt idx="115">
                  <c:v>952674.68118634657</c:v>
                </c:pt>
                <c:pt idx="116">
                  <c:v>927428.48449686472</c:v>
                </c:pt>
                <c:pt idx="117">
                  <c:v>898843.09040249372</c:v>
                </c:pt>
                <c:pt idx="118">
                  <c:v>970178.71863278095</c:v>
                </c:pt>
                <c:pt idx="119">
                  <c:v>941146.5217423446</c:v>
                </c:pt>
                <c:pt idx="120">
                  <c:v>942173.71917212498</c:v>
                </c:pt>
                <c:pt idx="121">
                  <c:v>944224.34387841448</c:v>
                </c:pt>
                <c:pt idx="122">
                  <c:v>915279.56592329149</c:v>
                </c:pt>
                <c:pt idx="123">
                  <c:v>907231.57167680212</c:v>
                </c:pt>
                <c:pt idx="124">
                  <c:v>953526.22517093131</c:v>
                </c:pt>
                <c:pt idx="125">
                  <c:v>934150.56683519576</c:v>
                </c:pt>
                <c:pt idx="126">
                  <c:v>942654.6209336021</c:v>
                </c:pt>
                <c:pt idx="127">
                  <c:v>962032.30325003294</c:v>
                </c:pt>
                <c:pt idx="128">
                  <c:v>912401.03588909796</c:v>
                </c:pt>
                <c:pt idx="129">
                  <c:v>932132.45597839938</c:v>
                </c:pt>
                <c:pt idx="130">
                  <c:v>958218.90830467129</c:v>
                </c:pt>
                <c:pt idx="131">
                  <c:v>956326.24729250371</c:v>
                </c:pt>
              </c:numCache>
            </c:numRef>
          </c:val>
          <c:smooth val="0"/>
        </c:ser>
        <c:ser>
          <c:idx val="2"/>
          <c:order val="2"/>
          <c:tx>
            <c:v>Final Sales</c:v>
          </c:tx>
          <c:spPr>
            <a:ln w="25400">
              <a:solidFill>
                <a:srgbClr val="008000"/>
              </a:solidFill>
              <a:prstDash val="solid"/>
            </a:ln>
          </c:spPr>
          <c:marker>
            <c:symbol val="none"/>
          </c:marker>
          <c:cat>
            <c:strRef>
              <c:f>[0]!Consumption_Time_Period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[0]!Final_Sales</c:f>
              <c:numCache>
                <c:formatCode>"$"#,##0_);[Red]\("$"#,##0\)</c:formatCode>
                <c:ptCount val="132"/>
                <c:pt idx="0">
                  <c:v>1167555.3477495622</c:v>
                </c:pt>
                <c:pt idx="1">
                  <c:v>1167587.9253138541</c:v>
                </c:pt>
                <c:pt idx="2">
                  <c:v>1167547.304254987</c:v>
                </c:pt>
                <c:pt idx="3">
                  <c:v>1167688.7772896637</c:v>
                </c:pt>
                <c:pt idx="4">
                  <c:v>1167775.6098424606</c:v>
                </c:pt>
                <c:pt idx="5">
                  <c:v>1167748.3871613729</c:v>
                </c:pt>
                <c:pt idx="6">
                  <c:v>1167801.8124321771</c:v>
                </c:pt>
                <c:pt idx="7">
                  <c:v>1167863.3200982073</c:v>
                </c:pt>
                <c:pt idx="8">
                  <c:v>1167856.35448753</c:v>
                </c:pt>
                <c:pt idx="9">
                  <c:v>1167923.498561912</c:v>
                </c:pt>
                <c:pt idx="10">
                  <c:v>1167964.0678440076</c:v>
                </c:pt>
                <c:pt idx="11">
                  <c:v>1167988.228590349</c:v>
                </c:pt>
                <c:pt idx="12">
                  <c:v>1167969.1086219936</c:v>
                </c:pt>
                <c:pt idx="13">
                  <c:v>1167927.1188853774</c:v>
                </c:pt>
                <c:pt idx="14">
                  <c:v>1167968.233213983</c:v>
                </c:pt>
                <c:pt idx="15">
                  <c:v>1167876.1065378678</c:v>
                </c:pt>
                <c:pt idx="16">
                  <c:v>1167935.2325309818</c:v>
                </c:pt>
                <c:pt idx="17">
                  <c:v>1168064.914163426</c:v>
                </c:pt>
                <c:pt idx="18">
                  <c:v>1168135.6530568479</c:v>
                </c:pt>
                <c:pt idx="19">
                  <c:v>1168028.9920293288</c:v>
                </c:pt>
                <c:pt idx="20">
                  <c:v>1168060.7428390756</c:v>
                </c:pt>
                <c:pt idx="21">
                  <c:v>1168107.5997609603</c:v>
                </c:pt>
                <c:pt idx="22">
                  <c:v>1167979.8888643123</c:v>
                </c:pt>
                <c:pt idx="23">
                  <c:v>1167988.4463955639</c:v>
                </c:pt>
                <c:pt idx="24">
                  <c:v>1167974.1044266738</c:v>
                </c:pt>
                <c:pt idx="25">
                  <c:v>1167985.7870985717</c:v>
                </c:pt>
                <c:pt idx="26">
                  <c:v>1168085.6139870323</c:v>
                </c:pt>
                <c:pt idx="27">
                  <c:v>1168207.3260010681</c:v>
                </c:pt>
                <c:pt idx="28">
                  <c:v>1168272.719901368</c:v>
                </c:pt>
                <c:pt idx="29">
                  <c:v>1168288.3744899933</c:v>
                </c:pt>
                <c:pt idx="30">
                  <c:v>1168217.2659146248</c:v>
                </c:pt>
                <c:pt idx="31">
                  <c:v>1168207.9241397125</c:v>
                </c:pt>
                <c:pt idx="32">
                  <c:v>1168121.3927478304</c:v>
                </c:pt>
                <c:pt idx="33">
                  <c:v>1168095.4762768811</c:v>
                </c:pt>
                <c:pt idx="34">
                  <c:v>1168068.9217219865</c:v>
                </c:pt>
                <c:pt idx="35">
                  <c:v>1168091.3321017246</c:v>
                </c:pt>
                <c:pt idx="36">
                  <c:v>1168080.2394526964</c:v>
                </c:pt>
                <c:pt idx="37">
                  <c:v>1168079.969178773</c:v>
                </c:pt>
                <c:pt idx="38">
                  <c:v>1168139.0725584957</c:v>
                </c:pt>
                <c:pt idx="39">
                  <c:v>1168079.2570204302</c:v>
                </c:pt>
                <c:pt idx="40">
                  <c:v>1168064.2906671925</c:v>
                </c:pt>
                <c:pt idx="41">
                  <c:v>1168023.3452014588</c:v>
                </c:pt>
                <c:pt idx="42">
                  <c:v>1168126.9626813354</c:v>
                </c:pt>
                <c:pt idx="43">
                  <c:v>1168146.3083352244</c:v>
                </c:pt>
                <c:pt idx="44">
                  <c:v>1168099.4514963999</c:v>
                </c:pt>
                <c:pt idx="45">
                  <c:v>1168121.5501497914</c:v>
                </c:pt>
                <c:pt idx="46">
                  <c:v>1168101.841025664</c:v>
                </c:pt>
                <c:pt idx="47">
                  <c:v>1168017.2196828807</c:v>
                </c:pt>
                <c:pt idx="48">
                  <c:v>1168103.8312672707</c:v>
                </c:pt>
                <c:pt idx="49">
                  <c:v>1168197.0689789741</c:v>
                </c:pt>
                <c:pt idx="50">
                  <c:v>1168158.4473263565</c:v>
                </c:pt>
                <c:pt idx="51">
                  <c:v>1168141.6689639487</c:v>
                </c:pt>
                <c:pt idx="52">
                  <c:v>1168149.2826880333</c:v>
                </c:pt>
                <c:pt idx="53">
                  <c:v>1168148.0251369555</c:v>
                </c:pt>
                <c:pt idx="54">
                  <c:v>1168079.9880218953</c:v>
                </c:pt>
                <c:pt idx="55">
                  <c:v>1168050.2063802718</c:v>
                </c:pt>
                <c:pt idx="56">
                  <c:v>1167966.5925050117</c:v>
                </c:pt>
                <c:pt idx="57">
                  <c:v>1168036.2385525208</c:v>
                </c:pt>
                <c:pt idx="58">
                  <c:v>1168009.8103179953</c:v>
                </c:pt>
                <c:pt idx="59">
                  <c:v>1168142.2966129552</c:v>
                </c:pt>
                <c:pt idx="60">
                  <c:v>1168046.6746764968</c:v>
                </c:pt>
                <c:pt idx="61">
                  <c:v>1168101.179574206</c:v>
                </c:pt>
                <c:pt idx="62">
                  <c:v>1168142.742815292</c:v>
                </c:pt>
                <c:pt idx="63">
                  <c:v>1168139.1911131926</c:v>
                </c:pt>
                <c:pt idx="64">
                  <c:v>1168027.7634200451</c:v>
                </c:pt>
                <c:pt idx="65">
                  <c:v>1168204.9063412803</c:v>
                </c:pt>
                <c:pt idx="66">
                  <c:v>1168135.9928834666</c:v>
                </c:pt>
                <c:pt idx="67">
                  <c:v>1168174.0087470245</c:v>
                </c:pt>
                <c:pt idx="68">
                  <c:v>1168189.9094572002</c:v>
                </c:pt>
                <c:pt idx="69">
                  <c:v>1168289.3450369239</c:v>
                </c:pt>
                <c:pt idx="70">
                  <c:v>1168253.1977069257</c:v>
                </c:pt>
                <c:pt idx="71">
                  <c:v>1168260.314745598</c:v>
                </c:pt>
                <c:pt idx="72">
                  <c:v>1168344.5518979277</c:v>
                </c:pt>
                <c:pt idx="73">
                  <c:v>1168265.6125304129</c:v>
                </c:pt>
                <c:pt idx="74">
                  <c:v>1168252.5920358631</c:v>
                </c:pt>
                <c:pt idx="75">
                  <c:v>1168236.6264347583</c:v>
                </c:pt>
                <c:pt idx="76">
                  <c:v>1168271.3955432293</c:v>
                </c:pt>
                <c:pt idx="77">
                  <c:v>1168345.6279009045</c:v>
                </c:pt>
                <c:pt idx="78">
                  <c:v>1168293.4925220339</c:v>
                </c:pt>
                <c:pt idx="79">
                  <c:v>1168185.8498722184</c:v>
                </c:pt>
                <c:pt idx="80">
                  <c:v>1168069.9372769035</c:v>
                </c:pt>
                <c:pt idx="81">
                  <c:v>1168062.9411278735</c:v>
                </c:pt>
                <c:pt idx="82">
                  <c:v>1168046.9851927478</c:v>
                </c:pt>
                <c:pt idx="83">
                  <c:v>1168122.627753647</c:v>
                </c:pt>
                <c:pt idx="84">
                  <c:v>1168235.2091215402</c:v>
                </c:pt>
                <c:pt idx="85">
                  <c:v>1168108.925731184</c:v>
                </c:pt>
                <c:pt idx="86">
                  <c:v>1167955.0038781611</c:v>
                </c:pt>
                <c:pt idx="87">
                  <c:v>1167933.8353511102</c:v>
                </c:pt>
                <c:pt idx="88">
                  <c:v>1167954.4880080745</c:v>
                </c:pt>
                <c:pt idx="89">
                  <c:v>1167938.4639299358</c:v>
                </c:pt>
                <c:pt idx="90">
                  <c:v>1167974.6070142132</c:v>
                </c:pt>
                <c:pt idx="91">
                  <c:v>1167980.5564469723</c:v>
                </c:pt>
                <c:pt idx="92">
                  <c:v>1167932.648256449</c:v>
                </c:pt>
                <c:pt idx="93">
                  <c:v>1167919.2642312399</c:v>
                </c:pt>
                <c:pt idx="94">
                  <c:v>1167842.623879933</c:v>
                </c:pt>
                <c:pt idx="95">
                  <c:v>1167826.6538967714</c:v>
                </c:pt>
                <c:pt idx="96">
                  <c:v>1167878.4037473684</c:v>
                </c:pt>
                <c:pt idx="97">
                  <c:v>1167943.3410623618</c:v>
                </c:pt>
                <c:pt idx="98">
                  <c:v>1167977.9443888776</c:v>
                </c:pt>
                <c:pt idx="99">
                  <c:v>1167862.4875764851</c:v>
                </c:pt>
                <c:pt idx="100">
                  <c:v>1167793.6924592461</c:v>
                </c:pt>
                <c:pt idx="101">
                  <c:v>1167716.5520212054</c:v>
                </c:pt>
                <c:pt idx="102">
                  <c:v>1167746.7141493086</c:v>
                </c:pt>
                <c:pt idx="103">
                  <c:v>1167689.2248225319</c:v>
                </c:pt>
                <c:pt idx="104">
                  <c:v>1167557.9956191191</c:v>
                </c:pt>
                <c:pt idx="105">
                  <c:v>1167575.4569872287</c:v>
                </c:pt>
                <c:pt idx="106">
                  <c:v>1167631.5442031797</c:v>
                </c:pt>
                <c:pt idx="107">
                  <c:v>1167741.9252469689</c:v>
                </c:pt>
                <c:pt idx="108">
                  <c:v>1167632.5494439346</c:v>
                </c:pt>
                <c:pt idx="109">
                  <c:v>1167661.410660177</c:v>
                </c:pt>
                <c:pt idx="110">
                  <c:v>1167648.4174612993</c:v>
                </c:pt>
                <c:pt idx="111">
                  <c:v>1167520.0218642638</c:v>
                </c:pt>
                <c:pt idx="112">
                  <c:v>1167537.2086344026</c:v>
                </c:pt>
                <c:pt idx="113">
                  <c:v>1167552.5155821894</c:v>
                </c:pt>
                <c:pt idx="114">
                  <c:v>1167486.5264103552</c:v>
                </c:pt>
                <c:pt idx="115">
                  <c:v>1167487.3281867972</c:v>
                </c:pt>
                <c:pt idx="116">
                  <c:v>1167567.1636222089</c:v>
                </c:pt>
                <c:pt idx="117">
                  <c:v>1167474.6278380624</c:v>
                </c:pt>
                <c:pt idx="118">
                  <c:v>1167432.7429550029</c:v>
                </c:pt>
                <c:pt idx="119">
                  <c:v>1167528.3384088879</c:v>
                </c:pt>
                <c:pt idx="120">
                  <c:v>1167616.5580208083</c:v>
                </c:pt>
                <c:pt idx="121">
                  <c:v>1167551.011684048</c:v>
                </c:pt>
                <c:pt idx="122">
                  <c:v>1167500.6113708606</c:v>
                </c:pt>
                <c:pt idx="123">
                  <c:v>1167492.5988428909</c:v>
                </c:pt>
                <c:pt idx="124">
                  <c:v>1167369.0984903914</c:v>
                </c:pt>
                <c:pt idx="125">
                  <c:v>1167503.2772168235</c:v>
                </c:pt>
                <c:pt idx="126">
                  <c:v>1167479.3721705298</c:v>
                </c:pt>
                <c:pt idx="127">
                  <c:v>1167397.0480726992</c:v>
                </c:pt>
                <c:pt idx="128">
                  <c:v>1167488.813672469</c:v>
                </c:pt>
                <c:pt idx="129">
                  <c:v>1167345.1173066904</c:v>
                </c:pt>
                <c:pt idx="130">
                  <c:v>1167418.5505983299</c:v>
                </c:pt>
                <c:pt idx="131">
                  <c:v>1167454.7904770589</c:v>
                </c:pt>
              </c:numCache>
            </c:numRef>
          </c:val>
          <c:smooth val="0"/>
        </c:ser>
        <c:ser>
          <c:idx val="3"/>
          <c:order val="3"/>
          <c:tx>
            <c:v>Permanent Income</c:v>
          </c:tx>
          <c:spPr>
            <a:ln w="25400">
              <a:solidFill>
                <a:srgbClr val="0000FF"/>
              </a:solidFill>
              <a:prstDash val="solid"/>
            </a:ln>
          </c:spPr>
          <c:marker>
            <c:symbol val="none"/>
          </c:marker>
          <c:cat>
            <c:strRef>
              <c:f>[0]!Consumption_Time_Period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[0]!Income_Permanent</c:f>
              <c:numCache>
                <c:formatCode>"$"#,##0_);[Red]\("$"#,##0\)</c:formatCode>
                <c:ptCount val="132"/>
                <c:pt idx="0">
                  <c:v>933333.33333333337</c:v>
                </c:pt>
                <c:pt idx="1">
                  <c:v>933381.15111087961</c:v>
                </c:pt>
                <c:pt idx="2">
                  <c:v>933405.31829365669</c:v>
                </c:pt>
                <c:pt idx="3">
                  <c:v>933467.02152908174</c:v>
                </c:pt>
                <c:pt idx="4">
                  <c:v>933440.85572897305</c:v>
                </c:pt>
                <c:pt idx="5">
                  <c:v>933542.31721433683</c:v>
                </c:pt>
                <c:pt idx="6">
                  <c:v>933595.02425196592</c:v>
                </c:pt>
                <c:pt idx="7">
                  <c:v>933698.85003358731</c:v>
                </c:pt>
                <c:pt idx="8">
                  <c:v>933668.98020786815</c:v>
                </c:pt>
                <c:pt idx="9">
                  <c:v>933698.68969696469</c:v>
                </c:pt>
                <c:pt idx="10">
                  <c:v>933740.01197400398</c:v>
                </c:pt>
                <c:pt idx="11">
                  <c:v>933737.51361474046</c:v>
                </c:pt>
                <c:pt idx="12">
                  <c:v>933674.34067444759</c:v>
                </c:pt>
                <c:pt idx="13">
                  <c:v>933666.81860540051</c:v>
                </c:pt>
                <c:pt idx="14">
                  <c:v>933601.93108791823</c:v>
                </c:pt>
                <c:pt idx="15">
                  <c:v>933584.17354932381</c:v>
                </c:pt>
                <c:pt idx="16">
                  <c:v>933584.32405049296</c:v>
                </c:pt>
                <c:pt idx="17">
                  <c:v>933630.34116657148</c:v>
                </c:pt>
                <c:pt idx="18">
                  <c:v>933583.65480826865</c:v>
                </c:pt>
                <c:pt idx="19">
                  <c:v>933607.32828089118</c:v>
                </c:pt>
                <c:pt idx="20">
                  <c:v>933640.08837359294</c:v>
                </c:pt>
                <c:pt idx="21">
                  <c:v>933604.83854715992</c:v>
                </c:pt>
                <c:pt idx="22">
                  <c:v>933581.68283591443</c:v>
                </c:pt>
                <c:pt idx="23">
                  <c:v>933551.61261451908</c:v>
                </c:pt>
                <c:pt idx="24">
                  <c:v>933541.44302389526</c:v>
                </c:pt>
                <c:pt idx="25">
                  <c:v>933488.46034997527</c:v>
                </c:pt>
                <c:pt idx="26">
                  <c:v>933532.39990816358</c:v>
                </c:pt>
                <c:pt idx="27">
                  <c:v>933652.98251277162</c:v>
                </c:pt>
                <c:pt idx="28">
                  <c:v>933643.46670841402</c:v>
                </c:pt>
                <c:pt idx="29">
                  <c:v>933572.62750915356</c:v>
                </c:pt>
                <c:pt idx="30">
                  <c:v>933509.47470393789</c:v>
                </c:pt>
                <c:pt idx="31">
                  <c:v>933553.31768709433</c:v>
                </c:pt>
                <c:pt idx="32">
                  <c:v>933501.68377489236</c:v>
                </c:pt>
                <c:pt idx="33">
                  <c:v>933394.8386365039</c:v>
                </c:pt>
                <c:pt idx="34">
                  <c:v>933457.11812053865</c:v>
                </c:pt>
                <c:pt idx="35">
                  <c:v>933492.05629053188</c:v>
                </c:pt>
                <c:pt idx="36">
                  <c:v>933520.03701784101</c:v>
                </c:pt>
                <c:pt idx="37">
                  <c:v>933540.85066056566</c:v>
                </c:pt>
                <c:pt idx="38">
                  <c:v>933621.39343488635</c:v>
                </c:pt>
                <c:pt idx="39">
                  <c:v>933645.74593178742</c:v>
                </c:pt>
                <c:pt idx="40">
                  <c:v>933598.15036649443</c:v>
                </c:pt>
                <c:pt idx="41">
                  <c:v>933573.99194506416</c:v>
                </c:pt>
                <c:pt idx="42">
                  <c:v>933669.26719709777</c:v>
                </c:pt>
                <c:pt idx="43">
                  <c:v>933645.9895201436</c:v>
                </c:pt>
                <c:pt idx="44">
                  <c:v>933574.97968643764</c:v>
                </c:pt>
                <c:pt idx="45">
                  <c:v>933484.14271371509</c:v>
                </c:pt>
                <c:pt idx="46">
                  <c:v>933542.77132174151</c:v>
                </c:pt>
                <c:pt idx="47">
                  <c:v>933529.31362691103</c:v>
                </c:pt>
                <c:pt idx="48">
                  <c:v>933527.00872491277</c:v>
                </c:pt>
                <c:pt idx="49">
                  <c:v>933527.21063965699</c:v>
                </c:pt>
                <c:pt idx="50">
                  <c:v>933558.23705129977</c:v>
                </c:pt>
                <c:pt idx="51">
                  <c:v>933612.41945669078</c:v>
                </c:pt>
                <c:pt idx="52">
                  <c:v>933599.38341534708</c:v>
                </c:pt>
                <c:pt idx="53">
                  <c:v>933702.25150519214</c:v>
                </c:pt>
                <c:pt idx="54">
                  <c:v>933671.73993408971</c:v>
                </c:pt>
                <c:pt idx="55">
                  <c:v>933645.41192301456</c:v>
                </c:pt>
                <c:pt idx="56">
                  <c:v>933589.35448201874</c:v>
                </c:pt>
                <c:pt idx="57">
                  <c:v>933561.17280634923</c:v>
                </c:pt>
                <c:pt idx="58">
                  <c:v>933604.23188466392</c:v>
                </c:pt>
                <c:pt idx="59">
                  <c:v>933664.05043940316</c:v>
                </c:pt>
                <c:pt idx="60">
                  <c:v>933669.13268355478</c:v>
                </c:pt>
                <c:pt idx="61">
                  <c:v>933659.43808126287</c:v>
                </c:pt>
                <c:pt idx="62">
                  <c:v>933597.17772354046</c:v>
                </c:pt>
                <c:pt idx="63">
                  <c:v>933617.29127219343</c:v>
                </c:pt>
                <c:pt idx="64">
                  <c:v>933551.94662785192</c:v>
                </c:pt>
                <c:pt idx="65">
                  <c:v>933633.81348120887</c:v>
                </c:pt>
                <c:pt idx="66">
                  <c:v>933627.84379611898</c:v>
                </c:pt>
                <c:pt idx="67">
                  <c:v>933593.32047417236</c:v>
                </c:pt>
                <c:pt idx="68">
                  <c:v>933572.65695467952</c:v>
                </c:pt>
                <c:pt idx="69">
                  <c:v>933598.81921887328</c:v>
                </c:pt>
                <c:pt idx="70">
                  <c:v>933585.82788109872</c:v>
                </c:pt>
                <c:pt idx="71">
                  <c:v>933700.42378233292</c:v>
                </c:pt>
                <c:pt idx="72">
                  <c:v>933798.78350850171</c:v>
                </c:pt>
                <c:pt idx="73">
                  <c:v>933740.14949400432</c:v>
                </c:pt>
                <c:pt idx="74">
                  <c:v>933769.02615003358</c:v>
                </c:pt>
                <c:pt idx="75">
                  <c:v>933788.91406833357</c:v>
                </c:pt>
                <c:pt idx="76">
                  <c:v>933857.24704289704</c:v>
                </c:pt>
                <c:pt idx="77">
                  <c:v>933893.57489260193</c:v>
                </c:pt>
                <c:pt idx="78">
                  <c:v>933880.41475616128</c:v>
                </c:pt>
                <c:pt idx="79">
                  <c:v>933820.48549829971</c:v>
                </c:pt>
                <c:pt idx="80">
                  <c:v>933754.59088069538</c:v>
                </c:pt>
                <c:pt idx="81">
                  <c:v>933754.43833444186</c:v>
                </c:pt>
                <c:pt idx="82">
                  <c:v>933821.86353627383</c:v>
                </c:pt>
                <c:pt idx="83">
                  <c:v>933848.85555884091</c:v>
                </c:pt>
                <c:pt idx="84">
                  <c:v>933957.97637754271</c:v>
                </c:pt>
                <c:pt idx="85">
                  <c:v>933901.57952064869</c:v>
                </c:pt>
                <c:pt idx="86">
                  <c:v>933818.30767674057</c:v>
                </c:pt>
                <c:pt idx="87">
                  <c:v>933853.99405670597</c:v>
                </c:pt>
                <c:pt idx="88">
                  <c:v>933912.91109878966</c:v>
                </c:pt>
                <c:pt idx="89">
                  <c:v>933934.34074017219</c:v>
                </c:pt>
                <c:pt idx="90">
                  <c:v>933980.9495648864</c:v>
                </c:pt>
                <c:pt idx="91">
                  <c:v>933911.87006295065</c:v>
                </c:pt>
                <c:pt idx="92">
                  <c:v>933804.91960903758</c:v>
                </c:pt>
                <c:pt idx="93">
                  <c:v>933731.16125119966</c:v>
                </c:pt>
                <c:pt idx="94">
                  <c:v>933670.29834820249</c:v>
                </c:pt>
                <c:pt idx="95">
                  <c:v>933645.00612119376</c:v>
                </c:pt>
                <c:pt idx="96">
                  <c:v>933622.31793010305</c:v>
                </c:pt>
                <c:pt idx="97">
                  <c:v>933670.40700694849</c:v>
                </c:pt>
                <c:pt idx="98">
                  <c:v>933683.96649536688</c:v>
                </c:pt>
                <c:pt idx="99">
                  <c:v>933659.48420149344</c:v>
                </c:pt>
                <c:pt idx="100">
                  <c:v>933678.56716599874</c:v>
                </c:pt>
                <c:pt idx="101">
                  <c:v>933608.21015952842</c:v>
                </c:pt>
                <c:pt idx="102">
                  <c:v>933619.21981606784</c:v>
                </c:pt>
                <c:pt idx="103">
                  <c:v>933618.66066942958</c:v>
                </c:pt>
                <c:pt idx="104">
                  <c:v>933517.98945839179</c:v>
                </c:pt>
                <c:pt idx="105">
                  <c:v>933511.60830369382</c:v>
                </c:pt>
                <c:pt idx="106">
                  <c:v>933562.95324304781</c:v>
                </c:pt>
                <c:pt idx="107">
                  <c:v>933638.03882521018</c:v>
                </c:pt>
                <c:pt idx="108">
                  <c:v>933642.83037026075</c:v>
                </c:pt>
                <c:pt idx="109">
                  <c:v>933634.91114568</c:v>
                </c:pt>
                <c:pt idx="110">
                  <c:v>933661.59161848971</c:v>
                </c:pt>
                <c:pt idx="111">
                  <c:v>933575.30551005539</c:v>
                </c:pt>
                <c:pt idx="112">
                  <c:v>933523.38225373486</c:v>
                </c:pt>
                <c:pt idx="113">
                  <c:v>933543.68247857946</c:v>
                </c:pt>
                <c:pt idx="114">
                  <c:v>933552.761894339</c:v>
                </c:pt>
                <c:pt idx="115">
                  <c:v>933440.61027058598</c:v>
                </c:pt>
                <c:pt idx="116">
                  <c:v>933494.03824535199</c:v>
                </c:pt>
                <c:pt idx="117">
                  <c:v>933477.18948493956</c:v>
                </c:pt>
                <c:pt idx="118">
                  <c:v>933380.98365415505</c:v>
                </c:pt>
                <c:pt idx="119">
                  <c:v>933483.19958465127</c:v>
                </c:pt>
                <c:pt idx="120">
                  <c:v>933504.48659064481</c:v>
                </c:pt>
                <c:pt idx="121">
                  <c:v>933528.56779226009</c:v>
                </c:pt>
                <c:pt idx="122">
                  <c:v>933558.27828138834</c:v>
                </c:pt>
                <c:pt idx="123">
                  <c:v>933507.50408039358</c:v>
                </c:pt>
                <c:pt idx="124">
                  <c:v>933434.51537927252</c:v>
                </c:pt>
                <c:pt idx="125">
                  <c:v>933490.3256842494</c:v>
                </c:pt>
                <c:pt idx="126">
                  <c:v>933492.15968744643</c:v>
                </c:pt>
                <c:pt idx="127">
                  <c:v>933517.61096868571</c:v>
                </c:pt>
                <c:pt idx="128">
                  <c:v>933596.81844724505</c:v>
                </c:pt>
                <c:pt idx="129">
                  <c:v>933537.94127347239</c:v>
                </c:pt>
                <c:pt idx="130">
                  <c:v>933534.03714765271</c:v>
                </c:pt>
                <c:pt idx="131">
                  <c:v>933602.60623419995</c:v>
                </c:pt>
              </c:numCache>
            </c:numRef>
          </c:val>
          <c:smooth val="0"/>
        </c:ser>
        <c:dLbls>
          <c:showLegendKey val="0"/>
          <c:showVal val="0"/>
          <c:showCatName val="0"/>
          <c:showSerName val="0"/>
          <c:showPercent val="0"/>
          <c:showBubbleSize val="0"/>
        </c:dLbls>
        <c:smooth val="0"/>
        <c:axId val="233342880"/>
        <c:axId val="304092504"/>
      </c:lineChart>
      <c:catAx>
        <c:axId val="233342880"/>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304092504"/>
        <c:crosses val="autoZero"/>
        <c:auto val="0"/>
        <c:lblAlgn val="ctr"/>
        <c:lblOffset val="100"/>
        <c:tickLblSkip val="3"/>
        <c:tickMarkSkip val="1"/>
        <c:noMultiLvlLbl val="0"/>
      </c:catAx>
      <c:valAx>
        <c:axId val="304092504"/>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 millions</a:t>
                </a:r>
              </a:p>
            </c:rich>
          </c:tx>
          <c:layout>
            <c:manualLayout>
              <c:xMode val="edge"/>
              <c:yMode val="edge"/>
              <c:x val="1.9274425351417709E-2"/>
              <c:y val="0.22686570428696415"/>
            </c:manualLayout>
          </c:layout>
          <c:overlay val="0"/>
          <c:spPr>
            <a:noFill/>
            <a:ln w="25400">
              <a:noFill/>
            </a:ln>
          </c:spPr>
        </c:title>
        <c:numFmt formatCode="\$#,##0_);[Red]\(\$#,##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tr-TR"/>
          </a:p>
        </c:txPr>
        <c:crossAx val="233342880"/>
        <c:crosses val="autoZero"/>
        <c:crossBetween val="between"/>
      </c:valAx>
      <c:spPr>
        <a:solidFill>
          <a:srgbClr val="FFFFFF"/>
        </a:solidFill>
        <a:ln w="25400">
          <a:noFill/>
        </a:ln>
      </c:spPr>
    </c:plotArea>
    <c:legend>
      <c:legendPos val="r"/>
      <c:layout>
        <c:manualLayout>
          <c:xMode val="edge"/>
          <c:yMode val="edge"/>
          <c:x val="0.12358275147656374"/>
          <c:y val="0.89552243469566306"/>
          <c:w val="0.84693876459100603"/>
          <c:h val="6.567179102612175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44" l="0.70000000000000062" r="0.70000000000000062" t="0.75000000000000144"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US"/>
              <a:t>Employment</a:t>
            </a:r>
          </a:p>
        </c:rich>
      </c:tx>
      <c:layout>
        <c:manualLayout>
          <c:xMode val="edge"/>
          <c:yMode val="edge"/>
          <c:x val="0.43197284371163686"/>
          <c:y val="1.4925321834770654E-2"/>
        </c:manualLayout>
      </c:layout>
      <c:overlay val="0"/>
      <c:spPr>
        <a:solidFill>
          <a:srgbClr val="FFFFFF"/>
        </a:solidFill>
        <a:ln w="25400">
          <a:noFill/>
        </a:ln>
      </c:spPr>
    </c:title>
    <c:autoTitleDeleted val="0"/>
    <c:plotArea>
      <c:layout>
        <c:manualLayout>
          <c:layoutTarget val="inner"/>
          <c:xMode val="edge"/>
          <c:yMode val="edge"/>
          <c:x val="0.11224489795918367"/>
          <c:y val="6.5671641791044774E-2"/>
          <c:w val="0.8458049886621315"/>
          <c:h val="0.5104477611940299"/>
        </c:manualLayout>
      </c:layout>
      <c:lineChart>
        <c:grouping val="standard"/>
        <c:varyColors val="0"/>
        <c:ser>
          <c:idx val="0"/>
          <c:order val="0"/>
          <c:tx>
            <c:v>Employment</c:v>
          </c:tx>
          <c:spPr>
            <a:ln w="25400">
              <a:solidFill>
                <a:srgbClr val="0000FF"/>
              </a:solidFill>
              <a:prstDash val="solid"/>
            </a:ln>
          </c:spPr>
          <c:marker>
            <c:symbol val="none"/>
          </c:marker>
          <c:cat>
            <c:strRef>
              <c:f>[0]!Employment_Time_Period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[0]!Employment</c:f>
              <c:numCache>
                <c:formatCode>#,##0.00</c:formatCode>
                <c:ptCount val="132"/>
                <c:pt idx="0">
                  <c:v>140</c:v>
                </c:pt>
                <c:pt idx="1">
                  <c:v>140</c:v>
                </c:pt>
                <c:pt idx="2">
                  <c:v>139.99992847056413</c:v>
                </c:pt>
                <c:pt idx="3">
                  <c:v>139.99895581888555</c:v>
                </c:pt>
                <c:pt idx="4">
                  <c:v>139.99939923159263</c:v>
                </c:pt>
                <c:pt idx="5">
                  <c:v>140.00147316656415</c:v>
                </c:pt>
                <c:pt idx="6">
                  <c:v>140.00193037566174</c:v>
                </c:pt>
                <c:pt idx="7">
                  <c:v>140.00256109707351</c:v>
                </c:pt>
                <c:pt idx="8">
                  <c:v>140.00289294577883</c:v>
                </c:pt>
                <c:pt idx="9">
                  <c:v>140.00346778803268</c:v>
                </c:pt>
                <c:pt idx="10">
                  <c:v>140.00470589108156</c:v>
                </c:pt>
                <c:pt idx="11">
                  <c:v>140.00606500322357</c:v>
                </c:pt>
                <c:pt idx="12">
                  <c:v>140.00781017114724</c:v>
                </c:pt>
                <c:pt idx="13">
                  <c:v>140.01000134581457</c:v>
                </c:pt>
                <c:pt idx="14">
                  <c:v>140.01163113672229</c:v>
                </c:pt>
                <c:pt idx="15">
                  <c:v>140.01463461306258</c:v>
                </c:pt>
                <c:pt idx="16">
                  <c:v>140.01643717070141</c:v>
                </c:pt>
                <c:pt idx="17">
                  <c:v>140.01911197243714</c:v>
                </c:pt>
                <c:pt idx="18">
                  <c:v>140.02319196572856</c:v>
                </c:pt>
                <c:pt idx="19">
                  <c:v>140.02887253515019</c:v>
                </c:pt>
                <c:pt idx="20">
                  <c:v>140.03262304728014</c:v>
                </c:pt>
                <c:pt idx="21">
                  <c:v>140.03642548111785</c:v>
                </c:pt>
                <c:pt idx="22">
                  <c:v>140.04132356206125</c:v>
                </c:pt>
                <c:pt idx="23">
                  <c:v>140.0445269748833</c:v>
                </c:pt>
                <c:pt idx="24">
                  <c:v>140.0481772329278</c:v>
                </c:pt>
                <c:pt idx="25">
                  <c:v>140.05170131623782</c:v>
                </c:pt>
                <c:pt idx="26">
                  <c:v>140.05599671356265</c:v>
                </c:pt>
                <c:pt idx="27">
                  <c:v>140.06125300197567</c:v>
                </c:pt>
                <c:pt idx="28">
                  <c:v>140.06688973032882</c:v>
                </c:pt>
                <c:pt idx="29">
                  <c:v>140.07358444193196</c:v>
                </c:pt>
                <c:pt idx="30">
                  <c:v>140.08130409147452</c:v>
                </c:pt>
                <c:pt idx="31">
                  <c:v>140.08863477671085</c:v>
                </c:pt>
                <c:pt idx="32">
                  <c:v>140.09524123841015</c:v>
                </c:pt>
                <c:pt idx="33">
                  <c:v>140.10108458943014</c:v>
                </c:pt>
                <c:pt idx="34">
                  <c:v>140.10774040696299</c:v>
                </c:pt>
                <c:pt idx="35">
                  <c:v>140.11320300159306</c:v>
                </c:pt>
                <c:pt idx="36">
                  <c:v>140.11853337733203</c:v>
                </c:pt>
                <c:pt idx="37">
                  <c:v>140.1233128117743</c:v>
                </c:pt>
                <c:pt idx="38">
                  <c:v>140.12779095469901</c:v>
                </c:pt>
                <c:pt idx="39">
                  <c:v>140.13216477493856</c:v>
                </c:pt>
                <c:pt idx="40">
                  <c:v>140.13529795486588</c:v>
                </c:pt>
                <c:pt idx="41">
                  <c:v>140.13872226828056</c:v>
                </c:pt>
                <c:pt idx="42">
                  <c:v>140.1417739285933</c:v>
                </c:pt>
                <c:pt idx="43">
                  <c:v>140.14523043051713</c:v>
                </c:pt>
                <c:pt idx="44">
                  <c:v>140.14921766048897</c:v>
                </c:pt>
                <c:pt idx="45">
                  <c:v>140.15329340600923</c:v>
                </c:pt>
                <c:pt idx="46">
                  <c:v>140.15873343685308</c:v>
                </c:pt>
                <c:pt idx="47">
                  <c:v>140.16313520441986</c:v>
                </c:pt>
                <c:pt idx="48">
                  <c:v>140.16635973838564</c:v>
                </c:pt>
                <c:pt idx="49">
                  <c:v>140.17087725273541</c:v>
                </c:pt>
                <c:pt idx="50">
                  <c:v>140.17676392118972</c:v>
                </c:pt>
                <c:pt idx="51">
                  <c:v>140.18164769167657</c:v>
                </c:pt>
                <c:pt idx="52">
                  <c:v>140.18557839182807</c:v>
                </c:pt>
                <c:pt idx="53">
                  <c:v>140.18972688530332</c:v>
                </c:pt>
                <c:pt idx="54">
                  <c:v>140.19259400356384</c:v>
                </c:pt>
                <c:pt idx="55">
                  <c:v>140.19474428524185</c:v>
                </c:pt>
                <c:pt idx="56">
                  <c:v>140.19671641169916</c:v>
                </c:pt>
                <c:pt idx="57">
                  <c:v>140.19805057577767</c:v>
                </c:pt>
                <c:pt idx="58">
                  <c:v>140.20074162708187</c:v>
                </c:pt>
                <c:pt idx="59">
                  <c:v>140.20249406262863</c:v>
                </c:pt>
                <c:pt idx="60">
                  <c:v>140.20551091555532</c:v>
                </c:pt>
                <c:pt idx="61">
                  <c:v>140.2069867448389</c:v>
                </c:pt>
                <c:pt idx="62">
                  <c:v>140.20936536476555</c:v>
                </c:pt>
                <c:pt idx="63">
                  <c:v>140.21308025843561</c:v>
                </c:pt>
                <c:pt idx="64">
                  <c:v>140.21646723861164</c:v>
                </c:pt>
                <c:pt idx="65">
                  <c:v>140.21889395234356</c:v>
                </c:pt>
                <c:pt idx="66">
                  <c:v>140.2229962018678</c:v>
                </c:pt>
                <c:pt idx="67">
                  <c:v>140.22608735183215</c:v>
                </c:pt>
                <c:pt idx="68">
                  <c:v>140.23011623603313</c:v>
                </c:pt>
                <c:pt idx="69">
                  <c:v>140.23458875977019</c:v>
                </c:pt>
                <c:pt idx="70">
                  <c:v>140.24021099778037</c:v>
                </c:pt>
                <c:pt idx="71">
                  <c:v>140.2453869247646</c:v>
                </c:pt>
                <c:pt idx="72">
                  <c:v>140.24925733312315</c:v>
                </c:pt>
                <c:pt idx="73">
                  <c:v>140.25318657274764</c:v>
                </c:pt>
                <c:pt idx="74">
                  <c:v>140.25656509616536</c:v>
                </c:pt>
                <c:pt idx="75">
                  <c:v>140.2593575659541</c:v>
                </c:pt>
                <c:pt idx="76">
                  <c:v>140.26162946146528</c:v>
                </c:pt>
                <c:pt idx="77">
                  <c:v>140.26358106961843</c:v>
                </c:pt>
                <c:pt idx="78">
                  <c:v>140.26619223286312</c:v>
                </c:pt>
                <c:pt idx="79">
                  <c:v>140.26813422487734</c:v>
                </c:pt>
                <c:pt idx="80">
                  <c:v>140.26911558166174</c:v>
                </c:pt>
                <c:pt idx="81">
                  <c:v>140.26908669741766</c:v>
                </c:pt>
                <c:pt idx="82">
                  <c:v>140.26892812096352</c:v>
                </c:pt>
                <c:pt idx="83">
                  <c:v>140.2677118760283</c:v>
                </c:pt>
                <c:pt idx="84">
                  <c:v>140.26730631607313</c:v>
                </c:pt>
                <c:pt idx="85">
                  <c:v>140.26730635026794</c:v>
                </c:pt>
                <c:pt idx="86">
                  <c:v>140.26604383185938</c:v>
                </c:pt>
                <c:pt idx="87">
                  <c:v>140.26341698859491</c:v>
                </c:pt>
                <c:pt idx="88">
                  <c:v>140.26004105424121</c:v>
                </c:pt>
                <c:pt idx="89">
                  <c:v>140.25628487685691</c:v>
                </c:pt>
                <c:pt idx="90">
                  <c:v>140.25204146305498</c:v>
                </c:pt>
                <c:pt idx="91">
                  <c:v>140.2478073832086</c:v>
                </c:pt>
                <c:pt idx="92">
                  <c:v>140.24449628402181</c:v>
                </c:pt>
                <c:pt idx="93">
                  <c:v>140.24173940049374</c:v>
                </c:pt>
                <c:pt idx="94">
                  <c:v>140.23966215361136</c:v>
                </c:pt>
                <c:pt idx="95">
                  <c:v>140.23715009098694</c:v>
                </c:pt>
                <c:pt idx="96">
                  <c:v>140.23469910456959</c:v>
                </c:pt>
                <c:pt idx="97">
                  <c:v>140.23330767473738</c:v>
                </c:pt>
                <c:pt idx="98">
                  <c:v>140.23233800199469</c:v>
                </c:pt>
                <c:pt idx="99">
                  <c:v>140.23173211719083</c:v>
                </c:pt>
                <c:pt idx="100">
                  <c:v>140.22966307436403</c:v>
                </c:pt>
                <c:pt idx="101">
                  <c:v>140.22632278656405</c:v>
                </c:pt>
                <c:pt idx="102">
                  <c:v>140.22265256000372</c:v>
                </c:pt>
                <c:pt idx="103">
                  <c:v>140.21932522864361</c:v>
                </c:pt>
                <c:pt idx="104">
                  <c:v>140.21515151222422</c:v>
                </c:pt>
                <c:pt idx="105">
                  <c:v>140.21019681241873</c:v>
                </c:pt>
                <c:pt idx="106">
                  <c:v>140.20560646291236</c:v>
                </c:pt>
                <c:pt idx="107">
                  <c:v>140.20128848673139</c:v>
                </c:pt>
                <c:pt idx="108">
                  <c:v>140.19778325689578</c:v>
                </c:pt>
                <c:pt idx="109">
                  <c:v>140.19258963413736</c:v>
                </c:pt>
                <c:pt idx="110">
                  <c:v>140.18795028879052</c:v>
                </c:pt>
                <c:pt idx="111">
                  <c:v>140.18283217798881</c:v>
                </c:pt>
                <c:pt idx="112">
                  <c:v>140.17681970624238</c:v>
                </c:pt>
                <c:pt idx="113">
                  <c:v>140.17171740645611</c:v>
                </c:pt>
                <c:pt idx="114">
                  <c:v>140.16664822678095</c:v>
                </c:pt>
                <c:pt idx="115">
                  <c:v>140.16050809927594</c:v>
                </c:pt>
                <c:pt idx="116">
                  <c:v>140.1557437740224</c:v>
                </c:pt>
                <c:pt idx="117">
                  <c:v>140.15160135850897</c:v>
                </c:pt>
                <c:pt idx="118">
                  <c:v>140.14629115116847</c:v>
                </c:pt>
                <c:pt idx="119">
                  <c:v>140.14151680895665</c:v>
                </c:pt>
                <c:pt idx="120">
                  <c:v>140.13702331141175</c:v>
                </c:pt>
                <c:pt idx="121">
                  <c:v>140.13365248589631</c:v>
                </c:pt>
                <c:pt idx="122">
                  <c:v>140.12903872606825</c:v>
                </c:pt>
                <c:pt idx="123">
                  <c:v>140.12334009032074</c:v>
                </c:pt>
                <c:pt idx="124">
                  <c:v>140.11815935707045</c:v>
                </c:pt>
                <c:pt idx="125">
                  <c:v>140.11201553926534</c:v>
                </c:pt>
                <c:pt idx="126">
                  <c:v>140.10728960648549</c:v>
                </c:pt>
                <c:pt idx="127">
                  <c:v>140.10222878259293</c:v>
                </c:pt>
                <c:pt idx="128">
                  <c:v>140.09566107416404</c:v>
                </c:pt>
                <c:pt idx="129">
                  <c:v>140.08959340917625</c:v>
                </c:pt>
                <c:pt idx="130">
                  <c:v>140.08209892176447</c:v>
                </c:pt>
                <c:pt idx="131">
                  <c:v>140.075817431611</c:v>
                </c:pt>
              </c:numCache>
            </c:numRef>
          </c:val>
          <c:smooth val="0"/>
        </c:ser>
        <c:ser>
          <c:idx val="1"/>
          <c:order val="1"/>
          <c:tx>
            <c:v>Desired Employment</c:v>
          </c:tx>
          <c:spPr>
            <a:ln w="25400">
              <a:solidFill>
                <a:srgbClr val="993366"/>
              </a:solidFill>
              <a:prstDash val="solid"/>
            </a:ln>
          </c:spPr>
          <c:marker>
            <c:symbol val="none"/>
          </c:marker>
          <c:cat>
            <c:strRef>
              <c:f>[0]!Employment_Time_Period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[0]!Employment_Desired</c:f>
              <c:numCache>
                <c:formatCode>#,##0.00</c:formatCode>
                <c:ptCount val="132"/>
                <c:pt idx="0">
                  <c:v>140</c:v>
                </c:pt>
                <c:pt idx="1">
                  <c:v>139.99587990449342</c:v>
                </c:pt>
                <c:pt idx="2">
                  <c:v>139.94390373387768</c:v>
                </c:pt>
                <c:pt idx="3">
                  <c:v>140.02449639081297</c:v>
                </c:pt>
                <c:pt idx="4">
                  <c:v>140.11885788595282</c:v>
                </c:pt>
                <c:pt idx="5">
                  <c:v>140.02780841058566</c:v>
                </c:pt>
                <c:pt idx="6">
                  <c:v>140.03825992897958</c:v>
                </c:pt>
                <c:pt idx="7">
                  <c:v>140.02167558249928</c:v>
                </c:pt>
                <c:pt idx="8">
                  <c:v>140.03600385960121</c:v>
                </c:pt>
                <c:pt idx="9">
                  <c:v>140.07478252364791</c:v>
                </c:pt>
                <c:pt idx="10">
                  <c:v>140.08299075046193</c:v>
                </c:pt>
                <c:pt idx="11">
                  <c:v>140.10658667562652</c:v>
                </c:pt>
                <c:pt idx="12">
                  <c:v>140.13402183198559</c:v>
                </c:pt>
                <c:pt idx="13">
                  <c:v>140.10387730209882</c:v>
                </c:pt>
                <c:pt idx="14">
                  <c:v>140.18463137392345</c:v>
                </c:pt>
                <c:pt idx="15">
                  <c:v>140.11846193305962</c:v>
                </c:pt>
                <c:pt idx="16">
                  <c:v>140.17050575067927</c:v>
                </c:pt>
                <c:pt idx="17">
                  <c:v>140.25411958602234</c:v>
                </c:pt>
                <c:pt idx="18">
                  <c:v>140.35039276441492</c:v>
                </c:pt>
                <c:pt idx="19">
                  <c:v>140.24490203383519</c:v>
                </c:pt>
                <c:pt idx="20">
                  <c:v>140.25164323633183</c:v>
                </c:pt>
                <c:pt idx="21">
                  <c:v>140.31855494345871</c:v>
                </c:pt>
                <c:pt idx="22">
                  <c:v>140.22584014061064</c:v>
                </c:pt>
                <c:pt idx="23">
                  <c:v>140.25478183824603</c:v>
                </c:pt>
                <c:pt idx="24">
                  <c:v>140.25116443158532</c:v>
                </c:pt>
                <c:pt idx="25">
                  <c:v>140.29911620214753</c:v>
                </c:pt>
                <c:pt idx="26">
                  <c:v>140.35875892615314</c:v>
                </c:pt>
                <c:pt idx="27">
                  <c:v>140.38592855511649</c:v>
                </c:pt>
                <c:pt idx="28">
                  <c:v>140.45250511866854</c:v>
                </c:pt>
                <c:pt idx="29">
                  <c:v>140.51823625558384</c:v>
                </c:pt>
                <c:pt idx="30">
                  <c:v>140.50355156108665</c:v>
                </c:pt>
                <c:pt idx="31">
                  <c:v>140.46916697059075</c:v>
                </c:pt>
                <c:pt idx="32">
                  <c:v>140.43181825716181</c:v>
                </c:pt>
                <c:pt idx="33">
                  <c:v>140.48445967932125</c:v>
                </c:pt>
                <c:pt idx="34">
                  <c:v>140.42238585765566</c:v>
                </c:pt>
                <c:pt idx="35">
                  <c:v>140.42023264415812</c:v>
                </c:pt>
                <c:pt idx="36">
                  <c:v>140.39382880120598</c:v>
                </c:pt>
                <c:pt idx="37">
                  <c:v>140.38125384423773</c:v>
                </c:pt>
                <c:pt idx="38">
                  <c:v>140.37972300049756</c:v>
                </c:pt>
                <c:pt idx="39">
                  <c:v>140.3126359387517</c:v>
                </c:pt>
                <c:pt idx="40">
                  <c:v>140.33253840755094</c:v>
                </c:pt>
                <c:pt idx="41">
                  <c:v>140.31449790229479</c:v>
                </c:pt>
                <c:pt idx="42">
                  <c:v>140.34086843940568</c:v>
                </c:pt>
                <c:pt idx="43">
                  <c:v>140.37489487689518</c:v>
                </c:pt>
                <c:pt idx="44">
                  <c:v>140.3839806024564</c:v>
                </c:pt>
                <c:pt idx="45">
                  <c:v>140.46663918261592</c:v>
                </c:pt>
                <c:pt idx="46">
                  <c:v>140.41227524869862</c:v>
                </c:pt>
                <c:pt idx="47">
                  <c:v>140.34886836084797</c:v>
                </c:pt>
                <c:pt idx="48">
                  <c:v>140.42656856493227</c:v>
                </c:pt>
                <c:pt idx="49">
                  <c:v>140.50994935570441</c:v>
                </c:pt>
                <c:pt idx="50">
                  <c:v>140.45806910123267</c:v>
                </c:pt>
                <c:pt idx="51">
                  <c:v>140.40805602040314</c:v>
                </c:pt>
                <c:pt idx="52">
                  <c:v>140.42453161600179</c:v>
                </c:pt>
                <c:pt idx="53">
                  <c:v>140.35487289710895</c:v>
                </c:pt>
                <c:pt idx="54">
                  <c:v>140.31645022821709</c:v>
                </c:pt>
                <c:pt idx="55">
                  <c:v>140.30833876918277</c:v>
                </c:pt>
                <c:pt idx="56">
                  <c:v>140.27356426262151</c:v>
                </c:pt>
                <c:pt idx="57">
                  <c:v>140.35305513089938</c:v>
                </c:pt>
                <c:pt idx="58">
                  <c:v>140.30168191457531</c:v>
                </c:pt>
                <c:pt idx="59">
                  <c:v>140.3762647912055</c:v>
                </c:pt>
                <c:pt idx="60">
                  <c:v>140.29051868228973</c:v>
                </c:pt>
                <c:pt idx="61">
                  <c:v>140.34399525261381</c:v>
                </c:pt>
                <c:pt idx="62">
                  <c:v>140.4233432401615</c:v>
                </c:pt>
                <c:pt idx="63">
                  <c:v>140.40817031657537</c:v>
                </c:pt>
                <c:pt idx="64">
                  <c:v>140.35624594957079</c:v>
                </c:pt>
                <c:pt idx="65">
                  <c:v>140.45518352494008</c:v>
                </c:pt>
                <c:pt idx="66">
                  <c:v>140.40104643981473</c:v>
                </c:pt>
                <c:pt idx="67">
                  <c:v>140.45815108180909</c:v>
                </c:pt>
                <c:pt idx="68">
                  <c:v>140.48773360328789</c:v>
                </c:pt>
                <c:pt idx="69">
                  <c:v>140.55842966915625</c:v>
                </c:pt>
                <c:pt idx="70">
                  <c:v>140.53834439207293</c:v>
                </c:pt>
                <c:pt idx="71">
                  <c:v>140.46832244621788</c:v>
                </c:pt>
                <c:pt idx="72">
                  <c:v>140.47558153549343</c:v>
                </c:pt>
                <c:pt idx="73">
                  <c:v>140.44778952160775</c:v>
                </c:pt>
                <c:pt idx="74">
                  <c:v>140.41741135599759</c:v>
                </c:pt>
                <c:pt idx="75">
                  <c:v>140.39021874739743</c:v>
                </c:pt>
                <c:pt idx="76">
                  <c:v>140.3740420910861</c:v>
                </c:pt>
                <c:pt idx="77">
                  <c:v>140.41398407251327</c:v>
                </c:pt>
                <c:pt idx="78">
                  <c:v>140.37805097288248</c:v>
                </c:pt>
                <c:pt idx="79">
                  <c:v>140.32466037565868</c:v>
                </c:pt>
                <c:pt idx="80">
                  <c:v>140.26745184920296</c:v>
                </c:pt>
                <c:pt idx="81">
                  <c:v>140.25995269365993</c:v>
                </c:pt>
                <c:pt idx="82">
                  <c:v>140.19887241269504</c:v>
                </c:pt>
                <c:pt idx="83">
                  <c:v>140.24435162261017</c:v>
                </c:pt>
                <c:pt idx="84">
                  <c:v>140.26730828569359</c:v>
                </c:pt>
                <c:pt idx="85">
                  <c:v>140.19458528993408</c:v>
                </c:pt>
                <c:pt idx="86">
                  <c:v>140.11473765982609</c:v>
                </c:pt>
                <c:pt idx="87">
                  <c:v>140.06896316982164</c:v>
                </c:pt>
                <c:pt idx="88">
                  <c:v>140.04368523690525</c:v>
                </c:pt>
                <c:pt idx="89">
                  <c:v>140.01186424186568</c:v>
                </c:pt>
                <c:pt idx="90">
                  <c:v>140.00815846390407</c:v>
                </c:pt>
                <c:pt idx="91">
                  <c:v>140.05708807004888</c:v>
                </c:pt>
                <c:pt idx="92">
                  <c:v>140.08569979280588</c:v>
                </c:pt>
                <c:pt idx="93">
                  <c:v>140.12208998006886</c:v>
                </c:pt>
                <c:pt idx="94">
                  <c:v>140.09496734644426</c:v>
                </c:pt>
                <c:pt idx="95">
                  <c:v>140.09597327334691</c:v>
                </c:pt>
                <c:pt idx="96">
                  <c:v>140.15455274623369</c:v>
                </c:pt>
                <c:pt idx="97">
                  <c:v>140.17745452475873</c:v>
                </c:pt>
                <c:pt idx="98">
                  <c:v>140.19743903729164</c:v>
                </c:pt>
                <c:pt idx="99">
                  <c:v>140.11255525036611</c:v>
                </c:pt>
                <c:pt idx="100">
                  <c:v>140.03726249708592</c:v>
                </c:pt>
                <c:pt idx="101">
                  <c:v>140.01491773668849</c:v>
                </c:pt>
                <c:pt idx="102">
                  <c:v>140.03099827366171</c:v>
                </c:pt>
                <c:pt idx="103">
                  <c:v>139.97891916288685</c:v>
                </c:pt>
                <c:pt idx="104">
                  <c:v>139.92976080342828</c:v>
                </c:pt>
                <c:pt idx="105">
                  <c:v>139.94579268085215</c:v>
                </c:pt>
                <c:pt idx="106">
                  <c:v>139.95689103488783</c:v>
                </c:pt>
                <c:pt idx="107">
                  <c:v>139.99938724820007</c:v>
                </c:pt>
                <c:pt idx="108">
                  <c:v>139.89863058601148</c:v>
                </c:pt>
                <c:pt idx="109">
                  <c:v>139.92536334215947</c:v>
                </c:pt>
                <c:pt idx="110">
                  <c:v>139.89314710661222</c:v>
                </c:pt>
                <c:pt idx="111">
                  <c:v>139.83651380539368</c:v>
                </c:pt>
                <c:pt idx="112">
                  <c:v>139.88292723855284</c:v>
                </c:pt>
                <c:pt idx="113">
                  <c:v>139.87973265716653</c:v>
                </c:pt>
                <c:pt idx="114">
                  <c:v>139.81297688249325</c:v>
                </c:pt>
                <c:pt idx="115">
                  <c:v>139.8860829646718</c:v>
                </c:pt>
                <c:pt idx="116">
                  <c:v>139.91714064044916</c:v>
                </c:pt>
                <c:pt idx="117">
                  <c:v>139.84573341569597</c:v>
                </c:pt>
                <c:pt idx="118">
                  <c:v>139.8712890397683</c:v>
                </c:pt>
                <c:pt idx="119">
                  <c:v>139.88269135037024</c:v>
                </c:pt>
                <c:pt idx="120">
                  <c:v>139.94286376172261</c:v>
                </c:pt>
                <c:pt idx="121">
                  <c:v>139.86789991980012</c:v>
                </c:pt>
                <c:pt idx="122">
                  <c:v>139.80079730701203</c:v>
                </c:pt>
                <c:pt idx="123">
                  <c:v>139.8249298551041</c:v>
                </c:pt>
                <c:pt idx="124">
                  <c:v>139.76427545149534</c:v>
                </c:pt>
                <c:pt idx="125">
                  <c:v>139.83980181114637</c:v>
                </c:pt>
                <c:pt idx="126">
                  <c:v>139.81578615027382</c:v>
                </c:pt>
                <c:pt idx="127">
                  <c:v>139.72392877708961</c:v>
                </c:pt>
                <c:pt idx="128">
                  <c:v>139.74616357086677</c:v>
                </c:pt>
                <c:pt idx="129">
                  <c:v>139.65791093425804</c:v>
                </c:pt>
                <c:pt idx="130">
                  <c:v>139.72028508892464</c:v>
                </c:pt>
                <c:pt idx="131">
                  <c:v>139.70252197929725</c:v>
                </c:pt>
              </c:numCache>
            </c:numRef>
          </c:val>
          <c:smooth val="0"/>
        </c:ser>
        <c:dLbls>
          <c:showLegendKey val="0"/>
          <c:showVal val="0"/>
          <c:showCatName val="0"/>
          <c:showSerName val="0"/>
          <c:showPercent val="0"/>
          <c:showBubbleSize val="0"/>
        </c:dLbls>
        <c:smooth val="0"/>
        <c:axId val="129057760"/>
        <c:axId val="473725712"/>
      </c:lineChart>
      <c:catAx>
        <c:axId val="129057760"/>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73725712"/>
        <c:crosses val="autoZero"/>
        <c:auto val="0"/>
        <c:lblAlgn val="ctr"/>
        <c:lblOffset val="100"/>
        <c:tickLblSkip val="2"/>
        <c:tickMarkSkip val="1"/>
        <c:noMultiLvlLbl val="0"/>
      </c:catAx>
      <c:valAx>
        <c:axId val="473725712"/>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millions of man-periods</a:t>
                </a:r>
              </a:p>
            </c:rich>
          </c:tx>
          <c:layout>
            <c:manualLayout>
              <c:xMode val="edge"/>
              <c:yMode val="edge"/>
              <c:x val="1.814061464287519E-2"/>
              <c:y val="0.14328365204349458"/>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tr-TR"/>
          </a:p>
        </c:txPr>
        <c:crossAx val="129057760"/>
        <c:crosses val="autoZero"/>
        <c:crossBetween val="between"/>
      </c:valAx>
      <c:spPr>
        <a:solidFill>
          <a:srgbClr val="FFFFFF"/>
        </a:solidFill>
        <a:ln w="25400">
          <a:noFill/>
        </a:ln>
      </c:spPr>
    </c:plotArea>
    <c:legend>
      <c:legendPos val="r"/>
      <c:layout>
        <c:manualLayout>
          <c:xMode val="edge"/>
          <c:yMode val="edge"/>
          <c:x val="0.27210886294932274"/>
          <c:y val="0.88955224346956629"/>
          <c:w val="0.46371883016321719"/>
          <c:h val="6.567179102612175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67" l="0.70000000000000062" r="0.70000000000000062" t="0.75000000000000167"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Capital</a:t>
            </a:r>
          </a:p>
        </c:rich>
      </c:tx>
      <c:layout>
        <c:manualLayout>
          <c:xMode val="edge"/>
          <c:yMode val="edge"/>
          <c:x val="0.45578227410135452"/>
          <c:y val="4.7761217347831522E-2"/>
        </c:manualLayout>
      </c:layout>
      <c:overlay val="0"/>
      <c:spPr>
        <a:solidFill>
          <a:srgbClr val="FFFFFF"/>
        </a:solidFill>
        <a:ln w="25400">
          <a:noFill/>
        </a:ln>
      </c:spPr>
    </c:title>
    <c:autoTitleDeleted val="0"/>
    <c:plotArea>
      <c:layout>
        <c:manualLayout>
          <c:layoutTarget val="inner"/>
          <c:xMode val="edge"/>
          <c:yMode val="edge"/>
          <c:x val="0.19160997732426305"/>
          <c:y val="8.6567164179104483E-2"/>
          <c:w val="0.77324263038548757"/>
          <c:h val="0.4925373134328358"/>
        </c:manualLayout>
      </c:layout>
      <c:lineChart>
        <c:grouping val="standard"/>
        <c:varyColors val="0"/>
        <c:ser>
          <c:idx val="0"/>
          <c:order val="0"/>
          <c:tx>
            <c:v>Capital</c:v>
          </c:tx>
          <c:spPr>
            <a:ln w="25400">
              <a:solidFill>
                <a:srgbClr val="0000FF"/>
              </a:solidFill>
              <a:prstDash val="solid"/>
            </a:ln>
          </c:spPr>
          <c:marker>
            <c:symbol val="none"/>
          </c:marker>
          <c:cat>
            <c:strRef>
              <c:f>[0]!Capital_Time_Period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[0]!Capital</c:f>
              <c:numCache>
                <c:formatCode>"$"#,##0_);[Red]\("$"#,##0\)</c:formatCode>
                <c:ptCount val="132"/>
                <c:pt idx="0">
                  <c:v>34645298.421926454</c:v>
                </c:pt>
                <c:pt idx="1">
                  <c:v>34645298.421926454</c:v>
                </c:pt>
                <c:pt idx="2">
                  <c:v>34645293.701624259</c:v>
                </c:pt>
                <c:pt idx="3">
                  <c:v>34645229.509860635</c:v>
                </c:pt>
                <c:pt idx="4">
                  <c:v>34645258.690705091</c:v>
                </c:pt>
                <c:pt idx="5">
                  <c:v>34645395.495520256</c:v>
                </c:pt>
                <c:pt idx="6">
                  <c:v>34645425.764000252</c:v>
                </c:pt>
                <c:pt idx="7">
                  <c:v>34645467.531947322</c:v>
                </c:pt>
                <c:pt idx="8">
                  <c:v>34645489.643281236</c:v>
                </c:pt>
                <c:pt idx="9">
                  <c:v>34645527.838849798</c:v>
                </c:pt>
                <c:pt idx="10">
                  <c:v>34645609.87347617</c:v>
                </c:pt>
                <c:pt idx="11">
                  <c:v>34645700.018653966</c:v>
                </c:pt>
                <c:pt idx="12">
                  <c:v>34645815.784996986</c:v>
                </c:pt>
                <c:pt idx="13">
                  <c:v>34645961.169686638</c:v>
                </c:pt>
                <c:pt idx="14">
                  <c:v>34646069.742768154</c:v>
                </c:pt>
                <c:pt idx="15">
                  <c:v>34646269.177056856</c:v>
                </c:pt>
                <c:pt idx="16">
                  <c:v>34646389.689281203</c:v>
                </c:pt>
                <c:pt idx="17">
                  <c:v>34646568.022998892</c:v>
                </c:pt>
                <c:pt idx="18">
                  <c:v>34646839.427663818</c:v>
                </c:pt>
                <c:pt idx="19">
                  <c:v>34647216.925071411</c:v>
                </c:pt>
                <c:pt idx="20">
                  <c:v>34647467.68063888</c:v>
                </c:pt>
                <c:pt idx="21">
                  <c:v>34647722.387135409</c:v>
                </c:pt>
                <c:pt idx="22">
                  <c:v>34648049.952825785</c:v>
                </c:pt>
                <c:pt idx="23">
                  <c:v>34648266.352964178</c:v>
                </c:pt>
                <c:pt idx="24">
                  <c:v>34648512.815610737</c:v>
                </c:pt>
                <c:pt idx="25">
                  <c:v>34648751.580473028</c:v>
                </c:pt>
                <c:pt idx="26">
                  <c:v>34649041.887453318</c:v>
                </c:pt>
                <c:pt idx="27">
                  <c:v>34649396.327247262</c:v>
                </c:pt>
                <c:pt idx="28">
                  <c:v>34649776.696605906</c:v>
                </c:pt>
                <c:pt idx="29">
                  <c:v>34650227.772431575</c:v>
                </c:pt>
                <c:pt idx="30">
                  <c:v>34650747.493317969</c:v>
                </c:pt>
                <c:pt idx="31">
                  <c:v>34651242.679841906</c:v>
                </c:pt>
                <c:pt idx="32">
                  <c:v>34651691.23348736</c:v>
                </c:pt>
                <c:pt idx="33">
                  <c:v>34652090.582653619</c:v>
                </c:pt>
                <c:pt idx="34">
                  <c:v>34652544.684594698</c:v>
                </c:pt>
                <c:pt idx="35">
                  <c:v>34652921.276904963</c:v>
                </c:pt>
                <c:pt idx="36">
                  <c:v>34653290.32483463</c:v>
                </c:pt>
                <c:pt idx="37">
                  <c:v>34653624.213527068</c:v>
                </c:pt>
                <c:pt idx="38">
                  <c:v>34653939.40059039</c:v>
                </c:pt>
                <c:pt idx="39">
                  <c:v>34654248.880236775</c:v>
                </c:pt>
                <c:pt idx="40">
                  <c:v>34654477.673284039</c:v>
                </c:pt>
                <c:pt idx="41">
                  <c:v>34654726.782378241</c:v>
                </c:pt>
                <c:pt idx="42">
                  <c:v>34654952.427712053</c:v>
                </c:pt>
                <c:pt idx="43">
                  <c:v>34655205.893036924</c:v>
                </c:pt>
                <c:pt idx="44">
                  <c:v>34655495.517476723</c:v>
                </c:pt>
                <c:pt idx="45">
                  <c:v>34655792.164025821</c:v>
                </c:pt>
                <c:pt idx="46">
                  <c:v>34656180.038112029</c:v>
                </c:pt>
                <c:pt idx="47">
                  <c:v>34656500.707006581</c:v>
                </c:pt>
                <c:pt idx="48">
                  <c:v>34656744.942785993</c:v>
                </c:pt>
                <c:pt idx="49">
                  <c:v>34657075.67922993</c:v>
                </c:pt>
                <c:pt idx="50">
                  <c:v>34657498.042107671</c:v>
                </c:pt>
                <c:pt idx="51">
                  <c:v>34657855.614062406</c:v>
                </c:pt>
                <c:pt idx="52">
                  <c:v>34658151.631313786</c:v>
                </c:pt>
                <c:pt idx="53">
                  <c:v>34658463.301996998</c:v>
                </c:pt>
                <c:pt idx="54">
                  <c:v>34658691.716011606</c:v>
                </c:pt>
                <c:pt idx="55">
                  <c:v>34658874.036753975</c:v>
                </c:pt>
                <c:pt idx="56">
                  <c:v>34659045.752096131</c:v>
                </c:pt>
                <c:pt idx="57">
                  <c:v>34659176.493124492</c:v>
                </c:pt>
                <c:pt idx="58">
                  <c:v>34659397.839792244</c:v>
                </c:pt>
                <c:pt idx="59">
                  <c:v>34659558.393923983</c:v>
                </c:pt>
                <c:pt idx="60">
                  <c:v>34659803.458338298</c:v>
                </c:pt>
                <c:pt idx="61">
                  <c:v>34659947.980986357</c:v>
                </c:pt>
                <c:pt idx="62">
                  <c:v>34660153.111605167</c:v>
                </c:pt>
                <c:pt idx="63">
                  <c:v>34660447.508290231</c:v>
                </c:pt>
                <c:pt idx="64">
                  <c:v>34660721.443689652</c:v>
                </c:pt>
                <c:pt idx="65">
                  <c:v>34660933.167857297</c:v>
                </c:pt>
                <c:pt idx="66">
                  <c:v>34661256.548232697</c:v>
                </c:pt>
                <c:pt idx="67">
                  <c:v>34661514.411241755</c:v>
                </c:pt>
                <c:pt idx="68">
                  <c:v>34661835.293422304</c:v>
                </c:pt>
                <c:pt idx="69">
                  <c:v>34662186.658959366</c:v>
                </c:pt>
                <c:pt idx="70">
                  <c:v>34662615.143497102</c:v>
                </c:pt>
                <c:pt idx="71">
                  <c:v>34663015.522486776</c:v>
                </c:pt>
                <c:pt idx="72">
                  <c:v>34663331.083208956</c:v>
                </c:pt>
                <c:pt idx="73">
                  <c:v>34663651.777288787</c:v>
                </c:pt>
                <c:pt idx="74">
                  <c:v>34663937.388194777</c:v>
                </c:pt>
                <c:pt idx="75">
                  <c:v>34664185.545921177</c:v>
                </c:pt>
                <c:pt idx="76">
                  <c:v>34664400.525405288</c:v>
                </c:pt>
                <c:pt idx="77">
                  <c:v>34664595.497148387</c:v>
                </c:pt>
                <c:pt idx="78">
                  <c:v>34664835.085886598</c:v>
                </c:pt>
                <c:pt idx="79">
                  <c:v>34665031.643606275</c:v>
                </c:pt>
                <c:pt idx="80">
                  <c:v>34665165.877373822</c:v>
                </c:pt>
                <c:pt idx="81">
                  <c:v>34665234.426361367</c:v>
                </c:pt>
                <c:pt idx="82">
                  <c:v>34665295.299175441</c:v>
                </c:pt>
                <c:pt idx="83">
                  <c:v>34665287.216367267</c:v>
                </c:pt>
                <c:pt idx="84">
                  <c:v>34665333.360004216</c:v>
                </c:pt>
                <c:pt idx="85">
                  <c:v>34665407.018882424</c:v>
                </c:pt>
                <c:pt idx="86">
                  <c:v>34665398.109254144</c:v>
                </c:pt>
                <c:pt idx="87">
                  <c:v>34665299.791365385</c:v>
                </c:pt>
                <c:pt idx="88">
                  <c:v>34665152.522606701</c:v>
                </c:pt>
                <c:pt idx="89">
                  <c:v>34664980.53643769</c:v>
                </c:pt>
                <c:pt idx="90">
                  <c:v>34664776.687670015</c:v>
                </c:pt>
                <c:pt idx="91">
                  <c:v>34664573.650830537</c:v>
                </c:pt>
                <c:pt idx="92">
                  <c:v>34664431.658820845</c:v>
                </c:pt>
                <c:pt idx="93">
                  <c:v>34664326.388527304</c:v>
                </c:pt>
                <c:pt idx="94">
                  <c:v>34664266.110918202</c:v>
                </c:pt>
                <c:pt idx="95">
                  <c:v>34664177.292631015</c:v>
                </c:pt>
                <c:pt idx="96">
                  <c:v>34664092.591093026</c:v>
                </c:pt>
                <c:pt idx="97">
                  <c:v>34664077.864874974</c:v>
                </c:pt>
                <c:pt idx="98">
                  <c:v>34664091.070667788</c:v>
                </c:pt>
                <c:pt idx="99">
                  <c:v>34664128.391042218</c:v>
                </c:pt>
                <c:pt idx="100">
                  <c:v>34664069.272187561</c:v>
                </c:pt>
                <c:pt idx="101">
                  <c:v>34663926.251358271</c:v>
                </c:pt>
                <c:pt idx="102">
                  <c:v>34663761.320453927</c:v>
                </c:pt>
                <c:pt idx="103">
                  <c:v>34663618.815460049</c:v>
                </c:pt>
                <c:pt idx="104">
                  <c:v>34663420.239005342</c:v>
                </c:pt>
                <c:pt idx="105">
                  <c:v>34663169.805135839</c:v>
                </c:pt>
                <c:pt idx="106">
                  <c:v>34662942.991937824</c:v>
                </c:pt>
                <c:pt idx="107">
                  <c:v>34662733.707580857</c:v>
                </c:pt>
                <c:pt idx="108">
                  <c:v>34662577.587592155</c:v>
                </c:pt>
                <c:pt idx="109">
                  <c:v>34662309.600135498</c:v>
                </c:pt>
                <c:pt idx="110">
                  <c:v>34662077.580175899</c:v>
                </c:pt>
                <c:pt idx="111">
                  <c:v>34661813.351412065</c:v>
                </c:pt>
                <c:pt idx="112">
                  <c:v>34661489.411286965</c:v>
                </c:pt>
                <c:pt idx="113">
                  <c:v>34661224.730862193</c:v>
                </c:pt>
                <c:pt idx="114">
                  <c:v>34660961.451424859</c:v>
                </c:pt>
                <c:pt idx="115">
                  <c:v>34660626.676350117</c:v>
                </c:pt>
                <c:pt idx="116">
                  <c:v>34660381.748457849</c:v>
                </c:pt>
                <c:pt idx="117">
                  <c:v>34660176.974889457</c:v>
                </c:pt>
                <c:pt idx="118">
                  <c:v>34659894.265474156</c:v>
                </c:pt>
                <c:pt idx="119">
                  <c:v>34659645.930614099</c:v>
                </c:pt>
                <c:pt idx="120">
                  <c:v>34659415.145576283</c:v>
                </c:pt>
                <c:pt idx="121">
                  <c:v>34659257.454469398</c:v>
                </c:pt>
                <c:pt idx="122">
                  <c:v>34659016.807408959</c:v>
                </c:pt>
                <c:pt idx="123">
                  <c:v>34658703.524491355</c:v>
                </c:pt>
                <c:pt idx="124">
                  <c:v>34658423.265345529</c:v>
                </c:pt>
                <c:pt idx="125">
                  <c:v>34658078.301813357</c:v>
                </c:pt>
                <c:pt idx="126">
                  <c:v>34657825.65317893</c:v>
                </c:pt>
                <c:pt idx="127">
                  <c:v>34657549.722330078</c:v>
                </c:pt>
                <c:pt idx="128">
                  <c:v>34657173.119244948</c:v>
                </c:pt>
                <c:pt idx="129">
                  <c:v>34656828.142371841</c:v>
                </c:pt>
                <c:pt idx="130">
                  <c:v>34656387.635013528</c:v>
                </c:pt>
                <c:pt idx="131">
                  <c:v>34656025.65959876</c:v>
                </c:pt>
              </c:numCache>
            </c:numRef>
          </c:val>
          <c:smooth val="0"/>
        </c:ser>
        <c:ser>
          <c:idx val="1"/>
          <c:order val="1"/>
          <c:tx>
            <c:v>Desired Capital</c:v>
          </c:tx>
          <c:spPr>
            <a:ln w="25400">
              <a:solidFill>
                <a:srgbClr val="993366"/>
              </a:solidFill>
              <a:prstDash val="solid"/>
            </a:ln>
          </c:spPr>
          <c:marker>
            <c:symbol val="none"/>
          </c:marker>
          <c:cat>
            <c:strRef>
              <c:f>[0]!Capital_Time_Period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[0]!Capital_Desired</c:f>
              <c:numCache>
                <c:formatCode>"$"#,##0_);[Red]\("$"#,##0\)</c:formatCode>
                <c:ptCount val="132"/>
                <c:pt idx="0">
                  <c:v>34645298.421926454</c:v>
                </c:pt>
                <c:pt idx="1">
                  <c:v>34645128.491047457</c:v>
                </c:pt>
                <c:pt idx="2">
                  <c:v>34642982.798133671</c:v>
                </c:pt>
                <c:pt idx="3">
                  <c:v>34646280.020260997</c:v>
                </c:pt>
                <c:pt idx="4">
                  <c:v>34650183.664051116</c:v>
                </c:pt>
                <c:pt idx="5">
                  <c:v>34646485.16080001</c:v>
                </c:pt>
                <c:pt idx="6">
                  <c:v>34646929.410094798</c:v>
                </c:pt>
                <c:pt idx="7">
                  <c:v>34646263.53996817</c:v>
                </c:pt>
                <c:pt idx="8">
                  <c:v>34646864.683749512</c:v>
                </c:pt>
                <c:pt idx="9">
                  <c:v>34648481.085399024</c:v>
                </c:pt>
                <c:pt idx="10">
                  <c:v>34648855.099876888</c:v>
                </c:pt>
                <c:pt idx="11">
                  <c:v>34649867.607002579</c:v>
                </c:pt>
                <c:pt idx="12">
                  <c:v>34651049.633824416</c:v>
                </c:pt>
                <c:pt idx="13">
                  <c:v>34649869.800621219</c:v>
                </c:pt>
                <c:pt idx="14">
                  <c:v>34653249.377161369</c:v>
                </c:pt>
                <c:pt idx="15">
                  <c:v>34650607.617133334</c:v>
                </c:pt>
                <c:pt idx="16">
                  <c:v>34652809.703117952</c:v>
                </c:pt>
                <c:pt idx="17">
                  <c:v>34656338.590936072</c:v>
                </c:pt>
                <c:pt idx="18">
                  <c:v>34660429.334337242</c:v>
                </c:pt>
                <c:pt idx="19">
                  <c:v>34656244.125500433</c:v>
                </c:pt>
                <c:pt idx="20">
                  <c:v>34656637.11451409</c:v>
                </c:pt>
                <c:pt idx="21">
                  <c:v>34659514.751988828</c:v>
                </c:pt>
                <c:pt idx="22">
                  <c:v>34655840.357808098</c:v>
                </c:pt>
                <c:pt idx="23">
                  <c:v>34657139.008240394</c:v>
                </c:pt>
                <c:pt idx="24">
                  <c:v>34657108.350653403</c:v>
                </c:pt>
                <c:pt idx="25">
                  <c:v>34659202.631763428</c:v>
                </c:pt>
                <c:pt idx="26">
                  <c:v>34661801.720035315</c:v>
                </c:pt>
                <c:pt idx="27">
                  <c:v>34663089.624158517</c:v>
                </c:pt>
                <c:pt idx="28">
                  <c:v>34666015.426329896</c:v>
                </c:pt>
                <c:pt idx="29">
                  <c:v>34668937.724341609</c:v>
                </c:pt>
                <c:pt idx="30">
                  <c:v>34668574.20817969</c:v>
                </c:pt>
                <c:pt idx="31">
                  <c:v>34667390.611078374</c:v>
                </c:pt>
                <c:pt idx="32">
                  <c:v>34666067.80347272</c:v>
                </c:pt>
                <c:pt idx="33">
                  <c:v>34668438.252532445</c:v>
                </c:pt>
                <c:pt idx="34">
                  <c:v>34666102.00776428</c:v>
                </c:pt>
                <c:pt idx="35">
                  <c:v>34666207.002372898</c:v>
                </c:pt>
                <c:pt idx="36">
                  <c:v>34665310.317762516</c:v>
                </c:pt>
                <c:pt idx="37">
                  <c:v>34664970.94780679</c:v>
                </c:pt>
                <c:pt idx="38">
                  <c:v>34665080.667860255</c:v>
                </c:pt>
                <c:pt idx="39">
                  <c:v>34662485.429938294</c:v>
                </c:pt>
                <c:pt idx="40">
                  <c:v>34663445.600675352</c:v>
                </c:pt>
                <c:pt idx="41">
                  <c:v>34662850.014395349</c:v>
                </c:pt>
                <c:pt idx="42">
                  <c:v>34664077.179407425</c:v>
                </c:pt>
                <c:pt idx="43">
                  <c:v>34665632.372869641</c:v>
                </c:pt>
                <c:pt idx="44">
                  <c:v>34666174.793244034</c:v>
                </c:pt>
                <c:pt idx="45">
                  <c:v>34669755.631129324</c:v>
                </c:pt>
                <c:pt idx="46">
                  <c:v>34667724.118315898</c:v>
                </c:pt>
                <c:pt idx="47">
                  <c:v>34665293.195065469</c:v>
                </c:pt>
                <c:pt idx="48">
                  <c:v>34668651.45476792</c:v>
                </c:pt>
                <c:pt idx="49">
                  <c:v>34672280.742828712</c:v>
                </c:pt>
                <c:pt idx="50">
                  <c:v>34670370.632478163</c:v>
                </c:pt>
                <c:pt idx="51">
                  <c:v>34668512.2351119</c:v>
                </c:pt>
                <c:pt idx="52">
                  <c:v>34669371.775909513</c:v>
                </c:pt>
                <c:pt idx="53">
                  <c:v>34666686.206522934</c:v>
                </c:pt>
                <c:pt idx="54">
                  <c:v>34665255.262736954</c:v>
                </c:pt>
                <c:pt idx="55">
                  <c:v>34665055.789071597</c:v>
                </c:pt>
                <c:pt idx="56">
                  <c:v>34663752.429117039</c:v>
                </c:pt>
                <c:pt idx="57">
                  <c:v>34667144.973163784</c:v>
                </c:pt>
                <c:pt idx="58">
                  <c:v>34665177.788534887</c:v>
                </c:pt>
                <c:pt idx="59">
                  <c:v>34668380.712839305</c:v>
                </c:pt>
                <c:pt idx="60">
                  <c:v>34665006.273668535</c:v>
                </c:pt>
                <c:pt idx="61">
                  <c:v>34667332.683263414</c:v>
                </c:pt>
                <c:pt idx="62">
                  <c:v>34670751.392267302</c:v>
                </c:pt>
                <c:pt idx="63">
                  <c:v>34670309.182669438</c:v>
                </c:pt>
                <c:pt idx="64">
                  <c:v>34668343.513724715</c:v>
                </c:pt>
                <c:pt idx="65">
                  <c:v>34672574.861371823</c:v>
                </c:pt>
                <c:pt idx="66">
                  <c:v>34670539.61655876</c:v>
                </c:pt>
                <c:pt idx="67">
                  <c:v>34673066.169741437</c:v>
                </c:pt>
                <c:pt idx="68">
                  <c:v>34674484.452756584</c:v>
                </c:pt>
                <c:pt idx="69">
                  <c:v>34677612.102317885</c:v>
                </c:pt>
                <c:pt idx="70">
                  <c:v>34677028.787125312</c:v>
                </c:pt>
                <c:pt idx="71">
                  <c:v>34674375.708485305</c:v>
                </c:pt>
                <c:pt idx="72">
                  <c:v>34674876.070082739</c:v>
                </c:pt>
                <c:pt idx="73">
                  <c:v>34673933.769904375</c:v>
                </c:pt>
                <c:pt idx="74">
                  <c:v>34672871.066345312</c:v>
                </c:pt>
                <c:pt idx="75">
                  <c:v>34671924.807349071</c:v>
                </c:pt>
                <c:pt idx="76">
                  <c:v>34671419.508156739</c:v>
                </c:pt>
                <c:pt idx="77">
                  <c:v>34673220.691724122</c:v>
                </c:pt>
                <c:pt idx="78">
                  <c:v>34671911.163795009</c:v>
                </c:pt>
                <c:pt idx="79">
                  <c:v>34669864.059238181</c:v>
                </c:pt>
                <c:pt idx="80">
                  <c:v>34667633.640925355</c:v>
                </c:pt>
                <c:pt idx="81">
                  <c:v>34667425.847667858</c:v>
                </c:pt>
                <c:pt idx="82">
                  <c:v>34665004.318081215</c:v>
                </c:pt>
                <c:pt idx="83">
                  <c:v>34666948.387297288</c:v>
                </c:pt>
                <c:pt idx="84">
                  <c:v>34667985.079619557</c:v>
                </c:pt>
                <c:pt idx="85">
                  <c:v>34665086.272264324</c:v>
                </c:pt>
                <c:pt idx="86">
                  <c:v>34661858.665258832</c:v>
                </c:pt>
                <c:pt idx="87">
                  <c:v>34659998.116052873</c:v>
                </c:pt>
                <c:pt idx="88">
                  <c:v>34658961.020522207</c:v>
                </c:pt>
                <c:pt idx="89">
                  <c:v>34657641.980801336</c:v>
                </c:pt>
                <c:pt idx="90">
                  <c:v>34657467.361448742</c:v>
                </c:pt>
                <c:pt idx="91">
                  <c:v>34659461.938481733</c:v>
                </c:pt>
                <c:pt idx="92">
                  <c:v>34660641.928253256</c:v>
                </c:pt>
                <c:pt idx="93">
                  <c:v>34662156.394599497</c:v>
                </c:pt>
                <c:pt idx="94">
                  <c:v>34661068.652579553</c:v>
                </c:pt>
                <c:pt idx="95">
                  <c:v>34661128.037263468</c:v>
                </c:pt>
                <c:pt idx="96">
                  <c:v>34663562.447242916</c:v>
                </c:pt>
                <c:pt idx="97">
                  <c:v>34664553.273416385</c:v>
                </c:pt>
                <c:pt idx="98">
                  <c:v>34665434.604147129</c:v>
                </c:pt>
                <c:pt idx="99">
                  <c:v>34662000.112274647</c:v>
                </c:pt>
                <c:pt idx="100">
                  <c:v>34658920.522332989</c:v>
                </c:pt>
                <c:pt idx="101">
                  <c:v>34657988.738801919</c:v>
                </c:pt>
                <c:pt idx="102">
                  <c:v>34658631.140674219</c:v>
                </c:pt>
                <c:pt idx="103">
                  <c:v>34656470.063090622</c:v>
                </c:pt>
                <c:pt idx="104">
                  <c:v>34654404.619703405</c:v>
                </c:pt>
                <c:pt idx="105">
                  <c:v>34655004.530007198</c:v>
                </c:pt>
                <c:pt idx="106">
                  <c:v>34655408.755086966</c:v>
                </c:pt>
                <c:pt idx="107">
                  <c:v>34657113.387987442</c:v>
                </c:pt>
                <c:pt idx="108">
                  <c:v>34652930.039152406</c:v>
                </c:pt>
                <c:pt idx="109">
                  <c:v>34653956.881590001</c:v>
                </c:pt>
                <c:pt idx="110">
                  <c:v>34652565.344677873</c:v>
                </c:pt>
                <c:pt idx="111">
                  <c:v>34650151.506908365</c:v>
                </c:pt>
                <c:pt idx="112">
                  <c:v>34651960.915995143</c:v>
                </c:pt>
                <c:pt idx="113">
                  <c:v>34651746.671118155</c:v>
                </c:pt>
                <c:pt idx="114">
                  <c:v>34648909.548734143</c:v>
                </c:pt>
                <c:pt idx="115">
                  <c:v>34651809.272228576</c:v>
                </c:pt>
                <c:pt idx="116">
                  <c:v>34653009.899995714</c:v>
                </c:pt>
                <c:pt idx="117">
                  <c:v>34649999.435938768</c:v>
                </c:pt>
                <c:pt idx="118">
                  <c:v>34650954.210512131</c:v>
                </c:pt>
                <c:pt idx="119">
                  <c:v>34651337.669252589</c:v>
                </c:pt>
                <c:pt idx="120">
                  <c:v>34653738.265728474</c:v>
                </c:pt>
                <c:pt idx="121">
                  <c:v>34650594.160293542</c:v>
                </c:pt>
                <c:pt idx="122">
                  <c:v>34647738.622375108</c:v>
                </c:pt>
                <c:pt idx="123">
                  <c:v>34648614.195241772</c:v>
                </c:pt>
                <c:pt idx="124">
                  <c:v>34646004.578187205</c:v>
                </c:pt>
                <c:pt idx="125">
                  <c:v>34648982.950974092</c:v>
                </c:pt>
                <c:pt idx="126">
                  <c:v>34647892.142620213</c:v>
                </c:pt>
                <c:pt idx="127">
                  <c:v>34643992.011265352</c:v>
                </c:pt>
                <c:pt idx="128">
                  <c:v>34644753.951813035</c:v>
                </c:pt>
                <c:pt idx="129">
                  <c:v>34640969.877472527</c:v>
                </c:pt>
                <c:pt idx="130">
                  <c:v>34643356.520081915</c:v>
                </c:pt>
                <c:pt idx="131">
                  <c:v>34642468.154785074</c:v>
                </c:pt>
              </c:numCache>
            </c:numRef>
          </c:val>
          <c:smooth val="0"/>
        </c:ser>
        <c:dLbls>
          <c:showLegendKey val="0"/>
          <c:showVal val="0"/>
          <c:showCatName val="0"/>
          <c:showSerName val="0"/>
          <c:showPercent val="0"/>
          <c:showBubbleSize val="0"/>
        </c:dLbls>
        <c:smooth val="0"/>
        <c:axId val="473729240"/>
        <c:axId val="473728848"/>
      </c:lineChart>
      <c:catAx>
        <c:axId val="473729240"/>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73728848"/>
        <c:crosses val="autoZero"/>
        <c:auto val="0"/>
        <c:lblAlgn val="ctr"/>
        <c:lblOffset val="100"/>
        <c:tickLblSkip val="3"/>
        <c:tickMarkSkip val="1"/>
        <c:noMultiLvlLbl val="0"/>
      </c:catAx>
      <c:valAx>
        <c:axId val="473728848"/>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 millions</a:t>
                </a:r>
              </a:p>
            </c:rich>
          </c:tx>
          <c:layout>
            <c:manualLayout>
              <c:xMode val="edge"/>
              <c:yMode val="edge"/>
              <c:x val="2.6077051806802743E-2"/>
              <c:y val="0.24179102612173478"/>
            </c:manualLayout>
          </c:layout>
          <c:overlay val="0"/>
          <c:spPr>
            <a:noFill/>
            <a:ln w="25400">
              <a:noFill/>
            </a:ln>
          </c:spPr>
        </c:title>
        <c:numFmt formatCode="\$#,##0_);[Red]\(\$#,##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tr-TR"/>
          </a:p>
        </c:txPr>
        <c:crossAx val="473729240"/>
        <c:crosses val="autoZero"/>
        <c:crossBetween val="between"/>
      </c:valAx>
      <c:spPr>
        <a:solidFill>
          <a:srgbClr val="FFFFFF"/>
        </a:solidFill>
        <a:ln w="25400">
          <a:noFill/>
        </a:ln>
      </c:spPr>
    </c:plotArea>
    <c:legend>
      <c:legendPos val="r"/>
      <c:layout>
        <c:manualLayout>
          <c:xMode val="edge"/>
          <c:yMode val="edge"/>
          <c:x val="0.40136054907066399"/>
          <c:y val="0.85373140857392826"/>
          <c:w val="0.30272103869236056"/>
          <c:h val="8.955224346956625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67" l="0.70000000000000062" r="0.70000000000000062" t="0.75000000000000167"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Demand</a:t>
            </a:r>
          </a:p>
        </c:rich>
      </c:tx>
      <c:layout>
        <c:manualLayout>
          <c:xMode val="edge"/>
          <c:yMode val="edge"/>
          <c:x val="0.45918370622698212"/>
          <c:y val="5.9701599800024999E-2"/>
        </c:manualLayout>
      </c:layout>
      <c:overlay val="0"/>
      <c:spPr>
        <a:solidFill>
          <a:srgbClr val="FFFFFF"/>
        </a:solidFill>
        <a:ln w="25400">
          <a:noFill/>
        </a:ln>
      </c:spPr>
    </c:title>
    <c:autoTitleDeleted val="0"/>
    <c:plotArea>
      <c:layout>
        <c:manualLayout>
          <c:layoutTarget val="inner"/>
          <c:xMode val="edge"/>
          <c:yMode val="edge"/>
          <c:x val="0.18027210884353742"/>
          <c:y val="0.10149253731343283"/>
          <c:w val="0.77777777777777779"/>
          <c:h val="0.66567164179104477"/>
        </c:manualLayout>
      </c:layout>
      <c:lineChart>
        <c:grouping val="standard"/>
        <c:varyColors val="0"/>
        <c:ser>
          <c:idx val="0"/>
          <c:order val="0"/>
          <c:tx>
            <c:v>Aggregate Demand</c:v>
          </c:tx>
          <c:spPr>
            <a:ln w="25400">
              <a:solidFill>
                <a:srgbClr val="0000FF"/>
              </a:solidFill>
              <a:prstDash val="solid"/>
            </a:ln>
          </c:spPr>
          <c:marker>
            <c:symbol val="none"/>
          </c:marker>
          <c:cat>
            <c:strRef>
              <c:f>[0]!Demand_Aggregate_Time_Period</c:f>
              <c:strCache>
                <c:ptCount val="132"/>
                <c:pt idx="0">
                  <c:v>MMM 2010</c:v>
                </c:pt>
                <c:pt idx="1">
                  <c:v>MMM 2010</c:v>
                </c:pt>
                <c:pt idx="2">
                  <c:v>MMM 2010</c:v>
                </c:pt>
                <c:pt idx="3">
                  <c:v>MMM 2010</c:v>
                </c:pt>
                <c:pt idx="4">
                  <c:v>MMM 2010</c:v>
                </c:pt>
                <c:pt idx="5">
                  <c:v>MMM 2010</c:v>
                </c:pt>
                <c:pt idx="6">
                  <c:v>MMM 2010</c:v>
                </c:pt>
                <c:pt idx="7">
                  <c:v>MMM 2010</c:v>
                </c:pt>
                <c:pt idx="8">
                  <c:v>MMM 2010</c:v>
                </c:pt>
                <c:pt idx="9">
                  <c:v>MMM 2010</c:v>
                </c:pt>
                <c:pt idx="10">
                  <c:v>MMM 2010</c:v>
                </c:pt>
                <c:pt idx="11">
                  <c:v>MMM 2010</c:v>
                </c:pt>
                <c:pt idx="12">
                  <c:v>MMM 2011</c:v>
                </c:pt>
                <c:pt idx="13">
                  <c:v>MMM 2011</c:v>
                </c:pt>
                <c:pt idx="14">
                  <c:v>MMM 2011</c:v>
                </c:pt>
                <c:pt idx="15">
                  <c:v>MMM 2011</c:v>
                </c:pt>
                <c:pt idx="16">
                  <c:v>MMM 2011</c:v>
                </c:pt>
                <c:pt idx="17">
                  <c:v>MMM 2011</c:v>
                </c:pt>
                <c:pt idx="18">
                  <c:v>MMM 2011</c:v>
                </c:pt>
                <c:pt idx="19">
                  <c:v>MMM 2011</c:v>
                </c:pt>
                <c:pt idx="20">
                  <c:v>MMM 2011</c:v>
                </c:pt>
                <c:pt idx="21">
                  <c:v>MMM 2011</c:v>
                </c:pt>
                <c:pt idx="22">
                  <c:v>MMM 2011</c:v>
                </c:pt>
                <c:pt idx="23">
                  <c:v>MMM 2011</c:v>
                </c:pt>
                <c:pt idx="24">
                  <c:v>MMM 2012</c:v>
                </c:pt>
                <c:pt idx="25">
                  <c:v>MMM 2012</c:v>
                </c:pt>
                <c:pt idx="26">
                  <c:v>MMM 2012</c:v>
                </c:pt>
                <c:pt idx="27">
                  <c:v>MMM 2012</c:v>
                </c:pt>
                <c:pt idx="28">
                  <c:v>MMM 2012</c:v>
                </c:pt>
                <c:pt idx="29">
                  <c:v>MMM 2012</c:v>
                </c:pt>
                <c:pt idx="30">
                  <c:v>MMM 2012</c:v>
                </c:pt>
                <c:pt idx="31">
                  <c:v>MMM 2012</c:v>
                </c:pt>
                <c:pt idx="32">
                  <c:v>MMM 2012</c:v>
                </c:pt>
                <c:pt idx="33">
                  <c:v>MMM 2012</c:v>
                </c:pt>
                <c:pt idx="34">
                  <c:v>MMM 2012</c:v>
                </c:pt>
                <c:pt idx="35">
                  <c:v>MMM 2012</c:v>
                </c:pt>
                <c:pt idx="36">
                  <c:v>MMM 2013</c:v>
                </c:pt>
                <c:pt idx="37">
                  <c:v>MMM 2013</c:v>
                </c:pt>
                <c:pt idx="38">
                  <c:v>MMM 2013</c:v>
                </c:pt>
                <c:pt idx="39">
                  <c:v>MMM 2013</c:v>
                </c:pt>
                <c:pt idx="40">
                  <c:v>MMM 2013</c:v>
                </c:pt>
                <c:pt idx="41">
                  <c:v>MMM 2013</c:v>
                </c:pt>
                <c:pt idx="42">
                  <c:v>MMM 2013</c:v>
                </c:pt>
                <c:pt idx="43">
                  <c:v>MMM 2013</c:v>
                </c:pt>
                <c:pt idx="44">
                  <c:v>MMM 2013</c:v>
                </c:pt>
                <c:pt idx="45">
                  <c:v>MMM 2013</c:v>
                </c:pt>
                <c:pt idx="46">
                  <c:v>MMM 2013</c:v>
                </c:pt>
                <c:pt idx="47">
                  <c:v>MMM 2013</c:v>
                </c:pt>
                <c:pt idx="48">
                  <c:v>MMM 2014</c:v>
                </c:pt>
                <c:pt idx="49">
                  <c:v>MMM 2014</c:v>
                </c:pt>
                <c:pt idx="50">
                  <c:v>MMM 2014</c:v>
                </c:pt>
                <c:pt idx="51">
                  <c:v>MMM 2014</c:v>
                </c:pt>
                <c:pt idx="52">
                  <c:v>MMM 2014</c:v>
                </c:pt>
                <c:pt idx="53">
                  <c:v>MMM 2014</c:v>
                </c:pt>
                <c:pt idx="54">
                  <c:v>MMM 2014</c:v>
                </c:pt>
                <c:pt idx="55">
                  <c:v>MMM 2014</c:v>
                </c:pt>
                <c:pt idx="56">
                  <c:v>MMM 2014</c:v>
                </c:pt>
                <c:pt idx="57">
                  <c:v>MMM 2014</c:v>
                </c:pt>
                <c:pt idx="58">
                  <c:v>MMM 2014</c:v>
                </c:pt>
                <c:pt idx="59">
                  <c:v>MMM 2014</c:v>
                </c:pt>
                <c:pt idx="60">
                  <c:v>MMM 2015</c:v>
                </c:pt>
                <c:pt idx="61">
                  <c:v>MMM 2015</c:v>
                </c:pt>
                <c:pt idx="62">
                  <c:v>MMM 2015</c:v>
                </c:pt>
                <c:pt idx="63">
                  <c:v>MMM 2015</c:v>
                </c:pt>
                <c:pt idx="64">
                  <c:v>MMM 2015</c:v>
                </c:pt>
                <c:pt idx="65">
                  <c:v>MMM 2015</c:v>
                </c:pt>
                <c:pt idx="66">
                  <c:v>MMM 2015</c:v>
                </c:pt>
                <c:pt idx="67">
                  <c:v>MMM 2015</c:v>
                </c:pt>
                <c:pt idx="68">
                  <c:v>MMM 2015</c:v>
                </c:pt>
                <c:pt idx="69">
                  <c:v>MMM 2015</c:v>
                </c:pt>
                <c:pt idx="70">
                  <c:v>MMM 2015</c:v>
                </c:pt>
                <c:pt idx="71">
                  <c:v>MMM 2015</c:v>
                </c:pt>
                <c:pt idx="72">
                  <c:v>MMM 2016</c:v>
                </c:pt>
                <c:pt idx="73">
                  <c:v>MMM 2016</c:v>
                </c:pt>
                <c:pt idx="74">
                  <c:v>MMM 2016</c:v>
                </c:pt>
                <c:pt idx="75">
                  <c:v>MMM 2016</c:v>
                </c:pt>
                <c:pt idx="76">
                  <c:v>MMM 2016</c:v>
                </c:pt>
                <c:pt idx="77">
                  <c:v>MMM 2016</c:v>
                </c:pt>
                <c:pt idx="78">
                  <c:v>MMM 2016</c:v>
                </c:pt>
                <c:pt idx="79">
                  <c:v>MMM 2016</c:v>
                </c:pt>
                <c:pt idx="80">
                  <c:v>MMM 2016</c:v>
                </c:pt>
                <c:pt idx="81">
                  <c:v>MMM 2016</c:v>
                </c:pt>
                <c:pt idx="82">
                  <c:v>MMM 2016</c:v>
                </c:pt>
                <c:pt idx="83">
                  <c:v>MMM 2016</c:v>
                </c:pt>
                <c:pt idx="84">
                  <c:v>MMM 2017</c:v>
                </c:pt>
                <c:pt idx="85">
                  <c:v>MMM 2017</c:v>
                </c:pt>
                <c:pt idx="86">
                  <c:v>MMM 2017</c:v>
                </c:pt>
                <c:pt idx="87">
                  <c:v>MMM 2017</c:v>
                </c:pt>
                <c:pt idx="88">
                  <c:v>MMM 2017</c:v>
                </c:pt>
                <c:pt idx="89">
                  <c:v>MMM 2017</c:v>
                </c:pt>
                <c:pt idx="90">
                  <c:v>MMM 2017</c:v>
                </c:pt>
                <c:pt idx="91">
                  <c:v>MMM 2017</c:v>
                </c:pt>
                <c:pt idx="92">
                  <c:v>MMM 2017</c:v>
                </c:pt>
                <c:pt idx="93">
                  <c:v>MMM 2017</c:v>
                </c:pt>
                <c:pt idx="94">
                  <c:v>MMM 2017</c:v>
                </c:pt>
                <c:pt idx="95">
                  <c:v>MMM 2017</c:v>
                </c:pt>
                <c:pt idx="96">
                  <c:v>MMM 2018</c:v>
                </c:pt>
                <c:pt idx="97">
                  <c:v>MMM 2018</c:v>
                </c:pt>
                <c:pt idx="98">
                  <c:v>MMM 2018</c:v>
                </c:pt>
                <c:pt idx="99">
                  <c:v>MMM 2018</c:v>
                </c:pt>
                <c:pt idx="100">
                  <c:v>MMM 2018</c:v>
                </c:pt>
                <c:pt idx="101">
                  <c:v>MMM 2018</c:v>
                </c:pt>
                <c:pt idx="102">
                  <c:v>MMM 2018</c:v>
                </c:pt>
                <c:pt idx="103">
                  <c:v>MMM 2018</c:v>
                </c:pt>
                <c:pt idx="104">
                  <c:v>MMM 2018</c:v>
                </c:pt>
                <c:pt idx="105">
                  <c:v>MMM 2018</c:v>
                </c:pt>
                <c:pt idx="106">
                  <c:v>MMM 2018</c:v>
                </c:pt>
                <c:pt idx="107">
                  <c:v>MMM 2018</c:v>
                </c:pt>
                <c:pt idx="108">
                  <c:v>MMM 2019</c:v>
                </c:pt>
                <c:pt idx="109">
                  <c:v>MMM 2019</c:v>
                </c:pt>
                <c:pt idx="110">
                  <c:v>MMM 2019</c:v>
                </c:pt>
                <c:pt idx="111">
                  <c:v>MMM 2019</c:v>
                </c:pt>
                <c:pt idx="112">
                  <c:v>MMM 2019</c:v>
                </c:pt>
                <c:pt idx="113">
                  <c:v>MMM 2019</c:v>
                </c:pt>
                <c:pt idx="114">
                  <c:v>MMM 2019</c:v>
                </c:pt>
                <c:pt idx="115">
                  <c:v>MMM 2019</c:v>
                </c:pt>
                <c:pt idx="116">
                  <c:v>MMM 2019</c:v>
                </c:pt>
                <c:pt idx="117">
                  <c:v>MMM 2019</c:v>
                </c:pt>
                <c:pt idx="118">
                  <c:v>MMM 2019</c:v>
                </c:pt>
                <c:pt idx="119">
                  <c:v>MMM 2019</c:v>
                </c:pt>
                <c:pt idx="120">
                  <c:v>MMM 2020</c:v>
                </c:pt>
                <c:pt idx="121">
                  <c:v>MMM 2020</c:v>
                </c:pt>
                <c:pt idx="122">
                  <c:v>MMM 2020</c:v>
                </c:pt>
                <c:pt idx="123">
                  <c:v>MMM 2020</c:v>
                </c:pt>
                <c:pt idx="124">
                  <c:v>MMM 2020</c:v>
                </c:pt>
                <c:pt idx="125">
                  <c:v>MMM 2020</c:v>
                </c:pt>
                <c:pt idx="126">
                  <c:v>MMM 2020</c:v>
                </c:pt>
                <c:pt idx="127">
                  <c:v>MMM 2020</c:v>
                </c:pt>
                <c:pt idx="128">
                  <c:v>MMM 2020</c:v>
                </c:pt>
                <c:pt idx="129">
                  <c:v>MMM 2020</c:v>
                </c:pt>
                <c:pt idx="130">
                  <c:v>MMM 2020</c:v>
                </c:pt>
                <c:pt idx="131">
                  <c:v>MMM 2020</c:v>
                </c:pt>
              </c:strCache>
            </c:strRef>
          </c:cat>
          <c:val>
            <c:numRef>
              <c:f>[0]!Demand_Aggregate</c:f>
              <c:numCache>
                <c:formatCode>"$"#,##0_);[Red]\("$"#,##0\)</c:formatCode>
                <c:ptCount val="132"/>
                <c:pt idx="0">
                  <c:v>1164194.6093627189</c:v>
                </c:pt>
                <c:pt idx="1">
                  <c:v>1135446.6301679909</c:v>
                </c:pt>
                <c:pt idx="2">
                  <c:v>1214554.7919434898</c:v>
                </c:pt>
                <c:pt idx="3">
                  <c:v>1223487.7003406808</c:v>
                </c:pt>
                <c:pt idx="4">
                  <c:v>1113027.4638293157</c:v>
                </c:pt>
                <c:pt idx="5">
                  <c:v>1173169.3144578894</c:v>
                </c:pt>
                <c:pt idx="6">
                  <c:v>1157034.8915199924</c:v>
                </c:pt>
                <c:pt idx="7">
                  <c:v>1175444.2627819807</c:v>
                </c:pt>
                <c:pt idx="8">
                  <c:v>1190233.8972580405</c:v>
                </c:pt>
                <c:pt idx="9">
                  <c:v>1172214.7904521443</c:v>
                </c:pt>
                <c:pt idx="10">
                  <c:v>1181515.8113526006</c:v>
                </c:pt>
                <c:pt idx="11">
                  <c:v>1184015.9827790014</c:v>
                </c:pt>
                <c:pt idx="12">
                  <c:v>1149696.7973344955</c:v>
                </c:pt>
                <c:pt idx="13">
                  <c:v>1215984.753945597</c:v>
                </c:pt>
                <c:pt idx="14">
                  <c:v>1128503.596931061</c:v>
                </c:pt>
                <c:pt idx="15">
                  <c:v>1198880.1400139483</c:v>
                </c:pt>
                <c:pt idx="16">
                  <c:v>1218255.8491281816</c:v>
                </c:pt>
                <c:pt idx="17">
                  <c:v>1226548.2369190571</c:v>
                </c:pt>
                <c:pt idx="18">
                  <c:v>1106292.1680222922</c:v>
                </c:pt>
                <c:pt idx="19">
                  <c:v>1172752.2384466191</c:v>
                </c:pt>
                <c:pt idx="20">
                  <c:v>1208910.7179122134</c:v>
                </c:pt>
                <c:pt idx="21">
                  <c:v>1113692.4094866507</c:v>
                </c:pt>
                <c:pt idx="22">
                  <c:v>1185913.6864196435</c:v>
                </c:pt>
                <c:pt idx="23">
                  <c:v>1166619.4046556444</c:v>
                </c:pt>
                <c:pt idx="24">
                  <c:v>1197530.7659338592</c:v>
                </c:pt>
                <c:pt idx="25">
                  <c:v>1204944.9360879213</c:v>
                </c:pt>
                <c:pt idx="26">
                  <c:v>1185958.1017626247</c:v>
                </c:pt>
                <c:pt idx="27">
                  <c:v>1209828.6760905217</c:v>
                </c:pt>
                <c:pt idx="28">
                  <c:v>1209876.2248047583</c:v>
                </c:pt>
                <c:pt idx="29">
                  <c:v>1162174.4854315633</c:v>
                </c:pt>
                <c:pt idx="30">
                  <c:v>1150232.1753781897</c:v>
                </c:pt>
                <c:pt idx="31">
                  <c:v>1148167.163364216</c:v>
                </c:pt>
                <c:pt idx="32">
                  <c:v>1201850.0054386791</c:v>
                </c:pt>
                <c:pt idx="33">
                  <c:v>1133459.5376616486</c:v>
                </c:pt>
                <c:pt idx="34">
                  <c:v>1168894.6207152782</c:v>
                </c:pt>
                <c:pt idx="35">
                  <c:v>1154326.2995966934</c:v>
                </c:pt>
                <c:pt idx="36">
                  <c:v>1162403.599162431</c:v>
                </c:pt>
                <c:pt idx="37">
                  <c:v>1168925.2757912083</c:v>
                </c:pt>
                <c:pt idx="38">
                  <c:v>1129578.787956614</c:v>
                </c:pt>
                <c:pt idx="39">
                  <c:v>1181213.4474358158</c:v>
                </c:pt>
                <c:pt idx="40">
                  <c:v>1158613.5169092421</c:v>
                </c:pt>
                <c:pt idx="41">
                  <c:v>1185109.8047856644</c:v>
                </c:pt>
                <c:pt idx="42">
                  <c:v>1189923.0994887273</c:v>
                </c:pt>
                <c:pt idx="43">
                  <c:v>1175242.2259775393</c:v>
                </c:pt>
                <c:pt idx="44">
                  <c:v>1219461.6531161636</c:v>
                </c:pt>
                <c:pt idx="45">
                  <c:v>1137936.9661714355</c:v>
                </c:pt>
                <c:pt idx="46">
                  <c:v>1132058.161028753</c:v>
                </c:pt>
                <c:pt idx="47">
                  <c:v>1216194.0254576534</c:v>
                </c:pt>
                <c:pt idx="48">
                  <c:v>1220249.8791710564</c:v>
                </c:pt>
                <c:pt idx="49">
                  <c:v>1139788.091947814</c:v>
                </c:pt>
                <c:pt idx="50">
                  <c:v>1140476.0606792141</c:v>
                </c:pt>
                <c:pt idx="51">
                  <c:v>1179952.4908625502</c:v>
                </c:pt>
                <c:pt idx="52">
                  <c:v>1128409.198797636</c:v>
                </c:pt>
                <c:pt idx="53">
                  <c:v>1146570.3394741281</c:v>
                </c:pt>
                <c:pt idx="54">
                  <c:v>1164436.876481218</c:v>
                </c:pt>
                <c:pt idx="55">
                  <c:v>1148371.4524730961</c:v>
                </c:pt>
                <c:pt idx="56">
                  <c:v>1216640.8898219047</c:v>
                </c:pt>
                <c:pt idx="57">
                  <c:v>1138784.8629630518</c:v>
                </c:pt>
                <c:pt idx="58">
                  <c:v>1213930.4085995792</c:v>
                </c:pt>
                <c:pt idx="59">
                  <c:v>1118354.5412439101</c:v>
                </c:pt>
                <c:pt idx="60">
                  <c:v>1201173.5978802014</c:v>
                </c:pt>
                <c:pt idx="61">
                  <c:v>1217142.0863003843</c:v>
                </c:pt>
                <c:pt idx="62">
                  <c:v>1161090.7728496732</c:v>
                </c:pt>
                <c:pt idx="63">
                  <c:v>1138913.4657687242</c:v>
                </c:pt>
                <c:pt idx="64">
                  <c:v>1228997.9281346481</c:v>
                </c:pt>
                <c:pt idx="65">
                  <c:v>1137977.6116326309</c:v>
                </c:pt>
                <c:pt idx="66">
                  <c:v>1204271.5055284079</c:v>
                </c:pt>
                <c:pt idx="67">
                  <c:v>1188234.1052356851</c:v>
                </c:pt>
                <c:pt idx="68">
                  <c:v>1213148.7528817495</c:v>
                </c:pt>
                <c:pt idx="69">
                  <c:v>1159269.0809929755</c:v>
                </c:pt>
                <c:pt idx="70">
                  <c:v>1129139.7024209136</c:v>
                </c:pt>
                <c:pt idx="71">
                  <c:v>1174924.8072838048</c:v>
                </c:pt>
                <c:pt idx="72">
                  <c:v>1153954.6377977023</c:v>
                </c:pt>
                <c:pt idx="73">
                  <c:v>1152171.3466472989</c:v>
                </c:pt>
                <c:pt idx="74">
                  <c:v>1153829.5294732377</c:v>
                </c:pt>
                <c:pt idx="75">
                  <c:v>1160212.4957748288</c:v>
                </c:pt>
                <c:pt idx="76">
                  <c:v>1193748.8729487087</c:v>
                </c:pt>
                <c:pt idx="77">
                  <c:v>1148556.6741591352</c:v>
                </c:pt>
                <c:pt idx="78">
                  <c:v>1137782.7331064034</c:v>
                </c:pt>
                <c:pt idx="79">
                  <c:v>1135047.0539237044</c:v>
                </c:pt>
                <c:pt idx="80">
                  <c:v>1164395.9387508905</c:v>
                </c:pt>
                <c:pt idx="81">
                  <c:v>1132184.770534893</c:v>
                </c:pt>
                <c:pt idx="82">
                  <c:v>1195611.4627215394</c:v>
                </c:pt>
                <c:pt idx="83">
                  <c:v>1182476.9280384798</c:v>
                </c:pt>
                <c:pt idx="84">
                  <c:v>1125260.4382584188</c:v>
                </c:pt>
                <c:pt idx="85">
                  <c:v>1120379.6326846497</c:v>
                </c:pt>
                <c:pt idx="86">
                  <c:v>1140158.119829207</c:v>
                </c:pt>
                <c:pt idx="87">
                  <c:v>1152074.5999986643</c:v>
                </c:pt>
                <c:pt idx="88">
                  <c:v>1147938.113283816</c:v>
                </c:pt>
                <c:pt idx="89">
                  <c:v>1164542.0685719023</c:v>
                </c:pt>
                <c:pt idx="90">
                  <c:v>1196092.4175527373</c:v>
                </c:pt>
                <c:pt idx="91">
                  <c:v>1184309.4342379533</c:v>
                </c:pt>
                <c:pt idx="92">
                  <c:v>1189214.9439645107</c:v>
                </c:pt>
                <c:pt idx="93">
                  <c:v>1151410.5029924619</c:v>
                </c:pt>
                <c:pt idx="94">
                  <c:v>1168061.6173619579</c:v>
                </c:pt>
                <c:pt idx="95">
                  <c:v>1202614.1276766157</c:v>
                </c:pt>
                <c:pt idx="96">
                  <c:v>1181695.6733336442</c:v>
                </c:pt>
                <c:pt idx="97">
                  <c:v>1180136.1618927552</c:v>
                </c:pt>
                <c:pt idx="98">
                  <c:v>1117381.7198221006</c:v>
                </c:pt>
                <c:pt idx="99">
                  <c:v>1122428.9751182664</c:v>
                </c:pt>
                <c:pt idx="100">
                  <c:v>1153570.3312372712</c:v>
                </c:pt>
                <c:pt idx="101">
                  <c:v>1176439.3033229995</c:v>
                </c:pt>
                <c:pt idx="102">
                  <c:v>1135677.5191489209</c:v>
                </c:pt>
                <c:pt idx="103">
                  <c:v>1136995.9773489239</c:v>
                </c:pt>
                <c:pt idx="104">
                  <c:v>1175700.4664828915</c:v>
                </c:pt>
                <c:pt idx="105">
                  <c:v>1172873.9514284963</c:v>
                </c:pt>
                <c:pt idx="106">
                  <c:v>1191805.1532780607</c:v>
                </c:pt>
                <c:pt idx="107">
                  <c:v>1106207.5630885356</c:v>
                </c:pt>
                <c:pt idx="108">
                  <c:v>1181861.5752388816</c:v>
                </c:pt>
                <c:pt idx="109">
                  <c:v>1146714.9531896207</c:v>
                </c:pt>
                <c:pt idx="110">
                  <c:v>1131796.2451573233</c:v>
                </c:pt>
                <c:pt idx="111">
                  <c:v>1193152.3416071103</c:v>
                </c:pt>
                <c:pt idx="112">
                  <c:v>1163774.3114894719</c:v>
                </c:pt>
                <c:pt idx="113">
                  <c:v>1125610.974005762</c:v>
                </c:pt>
                <c:pt idx="114">
                  <c:v>1208971.789994576</c:v>
                </c:pt>
                <c:pt idx="115">
                  <c:v>1184351.9635053542</c:v>
                </c:pt>
                <c:pt idx="116">
                  <c:v>1123131.8371518275</c:v>
                </c:pt>
                <c:pt idx="117">
                  <c:v>1180714.4862408633</c:v>
                </c:pt>
                <c:pt idx="118">
                  <c:v>1172435.4616925668</c:v>
                </c:pt>
                <c:pt idx="119">
                  <c:v>1201792.5413978202</c:v>
                </c:pt>
                <c:pt idx="120">
                  <c:v>1121212.2261942057</c:v>
                </c:pt>
                <c:pt idx="121">
                  <c:v>1125304.264992154</c:v>
                </c:pt>
                <c:pt idx="122">
                  <c:v>1179486.1730803319</c:v>
                </c:pt>
                <c:pt idx="123">
                  <c:v>1128815.1066272862</c:v>
                </c:pt>
                <c:pt idx="124">
                  <c:v>1210018.1112197521</c:v>
                </c:pt>
                <c:pt idx="125">
                  <c:v>1150922.2852360299</c:v>
                </c:pt>
                <c:pt idx="126">
                  <c:v>1110017.1273417654</c:v>
                </c:pt>
                <c:pt idx="127">
                  <c:v>1177706.9494086958</c:v>
                </c:pt>
                <c:pt idx="128">
                  <c:v>1111599.7811253117</c:v>
                </c:pt>
                <c:pt idx="129">
                  <c:v>1201240.4172521355</c:v>
                </c:pt>
                <c:pt idx="130">
                  <c:v>1153677.8432979297</c:v>
                </c:pt>
                <c:pt idx="131">
                  <c:v>1128012.7502532718</c:v>
                </c:pt>
              </c:numCache>
            </c:numRef>
          </c:val>
          <c:smooth val="0"/>
        </c:ser>
        <c:ser>
          <c:idx val="1"/>
          <c:order val="1"/>
          <c:tx>
            <c:v>Short Expected Demand</c:v>
          </c:tx>
          <c:spPr>
            <a:ln w="25400">
              <a:solidFill>
                <a:srgbClr val="993366"/>
              </a:solidFill>
              <a:prstDash val="solid"/>
            </a:ln>
          </c:spPr>
          <c:marker>
            <c:symbol val="none"/>
          </c:marker>
          <c:val>
            <c:numRef>
              <c:f>[0]!Demand_Expected_Short</c:f>
              <c:numCache>
                <c:formatCode>"$"#,##0_);[Red]\("$"#,##0\)</c:formatCode>
                <c:ptCount val="132"/>
                <c:pt idx="0">
                  <c:v>1166666.6666666667</c:v>
                </c:pt>
                <c:pt idx="1">
                  <c:v>1166632.3325374452</c:v>
                </c:pt>
                <c:pt idx="2">
                  <c:v>1166199.1977823139</c:v>
                </c:pt>
                <c:pt idx="3">
                  <c:v>1166870.8032567748</c:v>
                </c:pt>
                <c:pt idx="4">
                  <c:v>1167657.1490496069</c:v>
                </c:pt>
                <c:pt idx="5">
                  <c:v>1166898.4034215473</c:v>
                </c:pt>
                <c:pt idx="6">
                  <c:v>1166985.4994081631</c:v>
                </c:pt>
                <c:pt idx="7">
                  <c:v>1166847.2965208273</c:v>
                </c:pt>
                <c:pt idx="8">
                  <c:v>1166966.6988300101</c:v>
                </c:pt>
                <c:pt idx="9">
                  <c:v>1167289.8543637327</c:v>
                </c:pt>
                <c:pt idx="10">
                  <c:v>1167358.2562538495</c:v>
                </c:pt>
                <c:pt idx="11">
                  <c:v>1167554.8889635543</c:v>
                </c:pt>
                <c:pt idx="12">
                  <c:v>1167783.5152665465</c:v>
                </c:pt>
                <c:pt idx="13">
                  <c:v>1167532.3108508235</c:v>
                </c:pt>
                <c:pt idx="14">
                  <c:v>1168205.2614493622</c:v>
                </c:pt>
                <c:pt idx="15">
                  <c:v>1167653.8494421635</c:v>
                </c:pt>
                <c:pt idx="16">
                  <c:v>1168087.5479223272</c:v>
                </c:pt>
                <c:pt idx="17">
                  <c:v>1168784.3298835196</c:v>
                </c:pt>
                <c:pt idx="18">
                  <c:v>1169586.6063701243</c:v>
                </c:pt>
                <c:pt idx="19">
                  <c:v>1168707.5169486266</c:v>
                </c:pt>
                <c:pt idx="20">
                  <c:v>1168763.6936360986</c:v>
                </c:pt>
                <c:pt idx="21">
                  <c:v>1169321.2911954892</c:v>
                </c:pt>
                <c:pt idx="22">
                  <c:v>1168548.6678384221</c:v>
                </c:pt>
                <c:pt idx="23">
                  <c:v>1168789.8486520501</c:v>
                </c:pt>
                <c:pt idx="24">
                  <c:v>1168759.7035965445</c:v>
                </c:pt>
                <c:pt idx="25">
                  <c:v>1169159.3016845628</c:v>
                </c:pt>
                <c:pt idx="26">
                  <c:v>1169656.3243846095</c:v>
                </c:pt>
                <c:pt idx="27">
                  <c:v>1169882.7379593041</c:v>
                </c:pt>
                <c:pt idx="28">
                  <c:v>1170437.5426555711</c:v>
                </c:pt>
                <c:pt idx="29">
                  <c:v>1170985.3021298654</c:v>
                </c:pt>
                <c:pt idx="30">
                  <c:v>1170862.9296757223</c:v>
                </c:pt>
                <c:pt idx="31">
                  <c:v>1170576.3914215898</c:v>
                </c:pt>
                <c:pt idx="32">
                  <c:v>1170265.1521430151</c:v>
                </c:pt>
                <c:pt idx="33">
                  <c:v>1170703.8306610105</c:v>
                </c:pt>
                <c:pt idx="34">
                  <c:v>1170186.5488137971</c:v>
                </c:pt>
                <c:pt idx="35">
                  <c:v>1170168.6053679844</c:v>
                </c:pt>
                <c:pt idx="36">
                  <c:v>1169948.5733433831</c:v>
                </c:pt>
                <c:pt idx="37">
                  <c:v>1169843.7820353145</c:v>
                </c:pt>
                <c:pt idx="38">
                  <c:v>1169831.0250041464</c:v>
                </c:pt>
                <c:pt idx="39">
                  <c:v>1169271.9661562641</c:v>
                </c:pt>
                <c:pt idx="40">
                  <c:v>1169437.8200629244</c:v>
                </c:pt>
                <c:pt idx="41">
                  <c:v>1169287.4825191232</c:v>
                </c:pt>
                <c:pt idx="42">
                  <c:v>1169507.2369950474</c:v>
                </c:pt>
                <c:pt idx="43">
                  <c:v>1169790.790640793</c:v>
                </c:pt>
                <c:pt idx="44">
                  <c:v>1169866.5050204701</c:v>
                </c:pt>
                <c:pt idx="45">
                  <c:v>1170555.3265217992</c:v>
                </c:pt>
                <c:pt idx="46">
                  <c:v>1170102.2937391552</c:v>
                </c:pt>
                <c:pt idx="47">
                  <c:v>1169573.9030070663</c:v>
                </c:pt>
                <c:pt idx="48">
                  <c:v>1170221.4047077689</c:v>
                </c:pt>
                <c:pt idx="49">
                  <c:v>1170916.2446308702</c:v>
                </c:pt>
                <c:pt idx="50">
                  <c:v>1170483.9091769389</c:v>
                </c:pt>
                <c:pt idx="51">
                  <c:v>1170067.1335033595</c:v>
                </c:pt>
                <c:pt idx="52">
                  <c:v>1170204.4301333483</c:v>
                </c:pt>
                <c:pt idx="53">
                  <c:v>1169623.9408092413</c:v>
                </c:pt>
                <c:pt idx="54">
                  <c:v>1169303.7519018091</c:v>
                </c:pt>
                <c:pt idx="55">
                  <c:v>1169236.1564098564</c:v>
                </c:pt>
                <c:pt idx="56">
                  <c:v>1168946.3688551793</c:v>
                </c:pt>
                <c:pt idx="57">
                  <c:v>1169608.7927574948</c:v>
                </c:pt>
                <c:pt idx="58">
                  <c:v>1169180.6826214609</c:v>
                </c:pt>
                <c:pt idx="59">
                  <c:v>1169802.2065933791</c:v>
                </c:pt>
                <c:pt idx="60">
                  <c:v>1169087.6556857477</c:v>
                </c:pt>
                <c:pt idx="61">
                  <c:v>1169533.2937717817</c:v>
                </c:pt>
                <c:pt idx="62">
                  <c:v>1170194.5270013458</c:v>
                </c:pt>
                <c:pt idx="63">
                  <c:v>1170068.0859714614</c:v>
                </c:pt>
                <c:pt idx="64">
                  <c:v>1169635.3829130901</c:v>
                </c:pt>
                <c:pt idx="65">
                  <c:v>1170459.862707834</c:v>
                </c:pt>
                <c:pt idx="66">
                  <c:v>1170008.7203317895</c:v>
                </c:pt>
                <c:pt idx="67">
                  <c:v>1170484.5923484091</c:v>
                </c:pt>
                <c:pt idx="68">
                  <c:v>1170731.1133607323</c:v>
                </c:pt>
                <c:pt idx="69">
                  <c:v>1171320.2472429688</c:v>
                </c:pt>
                <c:pt idx="70">
                  <c:v>1171152.8699339412</c:v>
                </c:pt>
                <c:pt idx="71">
                  <c:v>1170569.3537184824</c:v>
                </c:pt>
                <c:pt idx="72">
                  <c:v>1170629.8461291119</c:v>
                </c:pt>
                <c:pt idx="73">
                  <c:v>1170398.2460133978</c:v>
                </c:pt>
                <c:pt idx="74">
                  <c:v>1170145.0946333131</c:v>
                </c:pt>
                <c:pt idx="75">
                  <c:v>1169918.4895616453</c:v>
                </c:pt>
                <c:pt idx="76">
                  <c:v>1169783.6840923841</c:v>
                </c:pt>
                <c:pt idx="77">
                  <c:v>1170116.5339376107</c:v>
                </c:pt>
                <c:pt idx="78">
                  <c:v>1169817.0914406874</c:v>
                </c:pt>
                <c:pt idx="79">
                  <c:v>1169372.1697971558</c:v>
                </c:pt>
                <c:pt idx="80">
                  <c:v>1168895.4320766912</c:v>
                </c:pt>
                <c:pt idx="81">
                  <c:v>1168832.9391138328</c:v>
                </c:pt>
                <c:pt idx="82">
                  <c:v>1168323.9367724587</c:v>
                </c:pt>
                <c:pt idx="83">
                  <c:v>1168702.9301884181</c:v>
                </c:pt>
                <c:pt idx="84">
                  <c:v>1168894.2357141133</c:v>
                </c:pt>
                <c:pt idx="85">
                  <c:v>1168288.2107494508</c:v>
                </c:pt>
                <c:pt idx="86">
                  <c:v>1167622.8138318842</c:v>
                </c:pt>
                <c:pt idx="87">
                  <c:v>1167241.3597485137</c:v>
                </c:pt>
                <c:pt idx="88">
                  <c:v>1167030.7103075436</c:v>
                </c:pt>
                <c:pt idx="89">
                  <c:v>1166765.5353488808</c:v>
                </c:pt>
                <c:pt idx="90">
                  <c:v>1166734.6538658673</c:v>
                </c:pt>
                <c:pt idx="91">
                  <c:v>1167142.4005837406</c:v>
                </c:pt>
                <c:pt idx="92">
                  <c:v>1167380.8316067157</c:v>
                </c:pt>
                <c:pt idx="93">
                  <c:v>1167684.0831672407</c:v>
                </c:pt>
                <c:pt idx="94">
                  <c:v>1167458.0612203688</c:v>
                </c:pt>
                <c:pt idx="95">
                  <c:v>1167466.4439445576</c:v>
                </c:pt>
                <c:pt idx="96">
                  <c:v>1167954.6062186139</c:v>
                </c:pt>
                <c:pt idx="97">
                  <c:v>1168145.4543729892</c:v>
                </c:pt>
                <c:pt idx="98">
                  <c:v>1168311.9919774304</c:v>
                </c:pt>
                <c:pt idx="99">
                  <c:v>1167604.6270863842</c:v>
                </c:pt>
                <c:pt idx="100">
                  <c:v>1166977.187475716</c:v>
                </c:pt>
                <c:pt idx="101">
                  <c:v>1166790.9811390708</c:v>
                </c:pt>
                <c:pt idx="102">
                  <c:v>1166924.9856138476</c:v>
                </c:pt>
                <c:pt idx="103">
                  <c:v>1166490.993024057</c:v>
                </c:pt>
                <c:pt idx="104">
                  <c:v>1166081.3400285691</c:v>
                </c:pt>
                <c:pt idx="105">
                  <c:v>1166214.9390071013</c:v>
                </c:pt>
                <c:pt idx="106">
                  <c:v>1166307.4252907319</c:v>
                </c:pt>
                <c:pt idx="107">
                  <c:v>1166661.5604016671</c:v>
                </c:pt>
                <c:pt idx="108">
                  <c:v>1165821.9215500958</c:v>
                </c:pt>
                <c:pt idx="109">
                  <c:v>1166044.6945179957</c:v>
                </c:pt>
                <c:pt idx="110">
                  <c:v>1165776.225888435</c:v>
                </c:pt>
                <c:pt idx="111">
                  <c:v>1165304.281711614</c:v>
                </c:pt>
                <c:pt idx="112">
                  <c:v>1165691.0603212737</c:v>
                </c:pt>
                <c:pt idx="113">
                  <c:v>1165664.438809721</c:v>
                </c:pt>
                <c:pt idx="114">
                  <c:v>1165108.1406874438</c:v>
                </c:pt>
                <c:pt idx="115">
                  <c:v>1165717.3580389316</c:v>
                </c:pt>
                <c:pt idx="116">
                  <c:v>1165976.172003743</c:v>
                </c:pt>
                <c:pt idx="117">
                  <c:v>1165381.1117974664</c:v>
                </c:pt>
                <c:pt idx="118">
                  <c:v>1165594.0753314025</c:v>
                </c:pt>
                <c:pt idx="119">
                  <c:v>1165689.0945864187</c:v>
                </c:pt>
                <c:pt idx="120">
                  <c:v>1166190.5313476883</c:v>
                </c:pt>
                <c:pt idx="121">
                  <c:v>1165565.832665001</c:v>
                </c:pt>
                <c:pt idx="122">
                  <c:v>1165006.6442251003</c:v>
                </c:pt>
                <c:pt idx="123">
                  <c:v>1165207.748792534</c:v>
                </c:pt>
                <c:pt idx="124">
                  <c:v>1164702.2954291278</c:v>
                </c:pt>
                <c:pt idx="125">
                  <c:v>1165331.681759553</c:v>
                </c:pt>
                <c:pt idx="126">
                  <c:v>1165131.5512522818</c:v>
                </c:pt>
                <c:pt idx="127">
                  <c:v>1164366.0731424135</c:v>
                </c:pt>
                <c:pt idx="128">
                  <c:v>1164551.3630905563</c:v>
                </c:pt>
                <c:pt idx="129">
                  <c:v>1163815.9244521502</c:v>
                </c:pt>
                <c:pt idx="130">
                  <c:v>1164335.7090743722</c:v>
                </c:pt>
                <c:pt idx="131">
                  <c:v>1164187.6831608105</c:v>
                </c:pt>
              </c:numCache>
            </c:numRef>
          </c:val>
          <c:smooth val="0"/>
        </c:ser>
        <c:ser>
          <c:idx val="2"/>
          <c:order val="2"/>
          <c:tx>
            <c:v>Long Expected Demand</c:v>
          </c:tx>
          <c:spPr>
            <a:ln w="25400">
              <a:solidFill>
                <a:srgbClr val="008000"/>
              </a:solidFill>
              <a:prstDash val="solid"/>
            </a:ln>
          </c:spPr>
          <c:marker>
            <c:symbol val="none"/>
          </c:marker>
          <c:val>
            <c:numRef>
              <c:f>[0]!Demand_Expected_Long</c:f>
              <c:numCache>
                <c:formatCode>"$"#,##0_);[Red]\("$"#,##0\)</c:formatCode>
                <c:ptCount val="132"/>
                <c:pt idx="0">
                  <c:v>1166666.6666666667</c:v>
                </c:pt>
                <c:pt idx="1">
                  <c:v>1166660.9443117965</c:v>
                </c:pt>
                <c:pt idx="2">
                  <c:v>1166588.688954982</c:v>
                </c:pt>
                <c:pt idx="3">
                  <c:v>1166699.7216007886</c:v>
                </c:pt>
                <c:pt idx="4">
                  <c:v>1166831.1752552791</c:v>
                </c:pt>
                <c:pt idx="5">
                  <c:v>1166706.6296269782</c:v>
                </c:pt>
                <c:pt idx="6">
                  <c:v>1166721.5895455682</c:v>
                </c:pt>
                <c:pt idx="7">
                  <c:v>1166699.1666334721</c:v>
                </c:pt>
                <c:pt idx="8">
                  <c:v>1166719.4099115937</c:v>
                </c:pt>
                <c:pt idx="9">
                  <c:v>1166773.841595266</c:v>
                </c:pt>
                <c:pt idx="10">
                  <c:v>1166786.4363842865</c:v>
                </c:pt>
                <c:pt idx="11">
                  <c:v>1166820.5321596761</c:v>
                </c:pt>
                <c:pt idx="12">
                  <c:v>1166860.3364435171</c:v>
                </c:pt>
                <c:pt idx="13">
                  <c:v>1166820.6060289128</c:v>
                </c:pt>
                <c:pt idx="14">
                  <c:v>1166934.4119268681</c:v>
                </c:pt>
                <c:pt idx="15">
                  <c:v>1166845.4517069703</c:v>
                </c:pt>
                <c:pt idx="16">
                  <c:v>1166919.6060780513</c:v>
                </c:pt>
                <c:pt idx="17">
                  <c:v>1167038.4399740007</c:v>
                </c:pt>
                <c:pt idx="18">
                  <c:v>1167176.1941335958</c:v>
                </c:pt>
                <c:pt idx="19">
                  <c:v>1167035.2588879678</c:v>
                </c:pt>
                <c:pt idx="20">
                  <c:v>1167048.4926369463</c:v>
                </c:pt>
                <c:pt idx="21">
                  <c:v>1167145.3959361946</c:v>
                </c:pt>
                <c:pt idx="22">
                  <c:v>1167021.6621712651</c:v>
                </c:pt>
                <c:pt idx="23">
                  <c:v>1167065.393708877</c:v>
                </c:pt>
                <c:pt idx="24">
                  <c:v>1167064.3613268093</c:v>
                </c:pt>
                <c:pt idx="25">
                  <c:v>1167134.8854115477</c:v>
                </c:pt>
                <c:pt idx="26">
                  <c:v>1167222.4086770022</c:v>
                </c:pt>
                <c:pt idx="27">
                  <c:v>1167265.7783369226</c:v>
                </c:pt>
                <c:pt idx="28">
                  <c:v>1167364.3035632041</c:v>
                </c:pt>
                <c:pt idx="29">
                  <c:v>1167462.7107883003</c:v>
                </c:pt>
                <c:pt idx="30">
                  <c:v>1167450.4695259004</c:v>
                </c:pt>
                <c:pt idx="31">
                  <c:v>1167410.6123635215</c:v>
                </c:pt>
                <c:pt idx="32">
                  <c:v>1167366.0673426897</c:v>
                </c:pt>
                <c:pt idx="33">
                  <c:v>1167445.8912734676</c:v>
                </c:pt>
                <c:pt idx="34">
                  <c:v>1167367.2191586255</c:v>
                </c:pt>
                <c:pt idx="35">
                  <c:v>1167370.754810377</c:v>
                </c:pt>
                <c:pt idx="36">
                  <c:v>1167340.5593121971</c:v>
                </c:pt>
                <c:pt idx="37">
                  <c:v>1167329.1311637023</c:v>
                </c:pt>
                <c:pt idx="38">
                  <c:v>1167332.8259429326</c:v>
                </c:pt>
                <c:pt idx="39">
                  <c:v>1167245.4323364829</c:v>
                </c:pt>
                <c:pt idx="40">
                  <c:v>1167277.7657047685</c:v>
                </c:pt>
                <c:pt idx="41">
                  <c:v>1167257.7095732973</c:v>
                </c:pt>
                <c:pt idx="42">
                  <c:v>1167299.0338677703</c:v>
                </c:pt>
                <c:pt idx="43">
                  <c:v>1167351.404390041</c:v>
                </c:pt>
                <c:pt idx="44">
                  <c:v>1167369.6701807529</c:v>
                </c:pt>
                <c:pt idx="45">
                  <c:v>1167490.2534745848</c:v>
                </c:pt>
                <c:pt idx="46">
                  <c:v>1167421.843087309</c:v>
                </c:pt>
                <c:pt idx="47">
                  <c:v>1167339.9827121736</c:v>
                </c:pt>
                <c:pt idx="48">
                  <c:v>1167453.0707740844</c:v>
                </c:pt>
                <c:pt idx="49">
                  <c:v>1167575.2856083366</c:v>
                </c:pt>
                <c:pt idx="50">
                  <c:v>1167510.9634007891</c:v>
                </c:pt>
                <c:pt idx="51">
                  <c:v>1167448.3826074521</c:v>
                </c:pt>
                <c:pt idx="52">
                  <c:v>1167477.3273024871</c:v>
                </c:pt>
                <c:pt idx="53">
                  <c:v>1167386.891819837</c:v>
                </c:pt>
                <c:pt idx="54">
                  <c:v>1167338.7053560738</c:v>
                </c:pt>
                <c:pt idx="55">
                  <c:v>1167331.9881596041</c:v>
                </c:pt>
                <c:pt idx="56">
                  <c:v>1167288.0980307001</c:v>
                </c:pt>
                <c:pt idx="57">
                  <c:v>1167402.3406042908</c:v>
                </c:pt>
                <c:pt idx="58">
                  <c:v>1167336.0964430843</c:v>
                </c:pt>
                <c:pt idx="59">
                  <c:v>1167443.9536471502</c:v>
                </c:pt>
                <c:pt idx="60">
                  <c:v>1167330.3207480686</c:v>
                </c:pt>
                <c:pt idx="61">
                  <c:v>1167408.661667356</c:v>
                </c:pt>
                <c:pt idx="62">
                  <c:v>1167523.7853354882</c:v>
                </c:pt>
                <c:pt idx="63">
                  <c:v>1167508.8941028821</c:v>
                </c:pt>
                <c:pt idx="64">
                  <c:v>1167442.7009817383</c:v>
                </c:pt>
                <c:pt idx="65">
                  <c:v>1167585.1899334812</c:v>
                </c:pt>
                <c:pt idx="66">
                  <c:v>1167516.6538725996</c:v>
                </c:pt>
                <c:pt idx="67">
                  <c:v>1167601.7345477287</c:v>
                </c:pt>
                <c:pt idx="68">
                  <c:v>1167649.4946650618</c:v>
                </c:pt>
                <c:pt idx="69">
                  <c:v>1167754.8170220449</c:v>
                </c:pt>
                <c:pt idx="70">
                  <c:v>1167735.1741145703</c:v>
                </c:pt>
                <c:pt idx="71">
                  <c:v>1167645.832744909</c:v>
                </c:pt>
                <c:pt idx="72">
                  <c:v>1167662.6822230082</c:v>
                </c:pt>
                <c:pt idx="73">
                  <c:v>1167630.9506386905</c:v>
                </c:pt>
                <c:pt idx="74">
                  <c:v>1167595.16451834</c:v>
                </c:pt>
                <c:pt idx="75">
                  <c:v>1167563.2996224023</c:v>
                </c:pt>
                <c:pt idx="76">
                  <c:v>1167546.2838727552</c:v>
                </c:pt>
                <c:pt idx="77">
                  <c:v>1167606.9380141348</c:v>
                </c:pt>
                <c:pt idx="78">
                  <c:v>1167562.840181137</c:v>
                </c:pt>
                <c:pt idx="79">
                  <c:v>1167493.9047480936</c:v>
                </c:pt>
                <c:pt idx="80">
                  <c:v>1167418.7962971111</c:v>
                </c:pt>
                <c:pt idx="81">
                  <c:v>1167411.79894168</c:v>
                </c:pt>
                <c:pt idx="82">
                  <c:v>1167330.2548944422</c:v>
                </c:pt>
                <c:pt idx="83">
                  <c:v>1167395.7206533011</c:v>
                </c:pt>
                <c:pt idx="84">
                  <c:v>1167430.6308555817</c:v>
                </c:pt>
                <c:pt idx="85">
                  <c:v>1167333.0146690141</c:v>
                </c:pt>
                <c:pt idx="86">
                  <c:v>1167224.3262847911</c:v>
                </c:pt>
                <c:pt idx="87">
                  <c:v>1167161.6730291068</c:v>
                </c:pt>
                <c:pt idx="88">
                  <c:v>1167126.7492489438</c:v>
                </c:pt>
                <c:pt idx="89">
                  <c:v>1167082.3311101357</c:v>
                </c:pt>
                <c:pt idx="90">
                  <c:v>1167076.4508727787</c:v>
                </c:pt>
                <c:pt idx="91">
                  <c:v>1167143.6174623156</c:v>
                </c:pt>
                <c:pt idx="92">
                  <c:v>1167183.3531492963</c:v>
                </c:pt>
                <c:pt idx="93">
                  <c:v>1167234.3522021093</c:v>
                </c:pt>
                <c:pt idx="94">
                  <c:v>1167197.7229215314</c:v>
                </c:pt>
                <c:pt idx="95">
                  <c:v>1167199.7226771805</c:v>
                </c:pt>
                <c:pt idx="96">
                  <c:v>1167281.7004665311</c:v>
                </c:pt>
                <c:pt idx="97">
                  <c:v>1167315.0661444643</c:v>
                </c:pt>
                <c:pt idx="98">
                  <c:v>1167344.7446068446</c:v>
                </c:pt>
                <c:pt idx="99">
                  <c:v>1167229.08945688</c:v>
                </c:pt>
                <c:pt idx="100">
                  <c:v>1167125.3854885036</c:v>
                </c:pt>
                <c:pt idx="101">
                  <c:v>1167094.0080481071</c:v>
                </c:pt>
                <c:pt idx="102">
                  <c:v>1167115.6406760584</c:v>
                </c:pt>
                <c:pt idx="103">
                  <c:v>1167042.8672465973</c:v>
                </c:pt>
                <c:pt idx="104">
                  <c:v>1166973.3142607231</c:v>
                </c:pt>
                <c:pt idx="105">
                  <c:v>1166993.5160019782</c:v>
                </c:pt>
                <c:pt idx="106">
                  <c:v>1167007.128121021</c:v>
                </c:pt>
                <c:pt idx="107">
                  <c:v>1167064.5309570327</c:v>
                </c:pt>
                <c:pt idx="108">
                  <c:v>1166923.658346226</c:v>
                </c:pt>
                <c:pt idx="109">
                  <c:v>1166958.2368575516</c:v>
                </c:pt>
                <c:pt idx="110">
                  <c:v>1166911.3774046167</c:v>
                </c:pt>
                <c:pt idx="111">
                  <c:v>1166830.0923762664</c:v>
                </c:pt>
                <c:pt idx="112">
                  <c:v>1166891.0235087452</c:v>
                </c:pt>
                <c:pt idx="113">
                  <c:v>1166883.8088975896</c:v>
                </c:pt>
                <c:pt idx="114">
                  <c:v>1166788.2699279326</c:v>
                </c:pt>
                <c:pt idx="115">
                  <c:v>1166885.916965124</c:v>
                </c:pt>
                <c:pt idx="116">
                  <c:v>1166926.3476284116</c:v>
                </c:pt>
                <c:pt idx="117">
                  <c:v>1166824.9714467528</c:v>
                </c:pt>
                <c:pt idx="118">
                  <c:v>1166857.1231013688</c:v>
                </c:pt>
                <c:pt idx="119">
                  <c:v>1166870.0359221818</c:v>
                </c:pt>
                <c:pt idx="120">
                  <c:v>1166950.8750552272</c:v>
                </c:pt>
                <c:pt idx="121">
                  <c:v>1166844.9985532342</c:v>
                </c:pt>
                <c:pt idx="122">
                  <c:v>1166748.8394477686</c:v>
                </c:pt>
                <c:pt idx="123">
                  <c:v>1166778.3240163624</c:v>
                </c:pt>
                <c:pt idx="124">
                  <c:v>1166690.4461983321</c:v>
                </c:pt>
                <c:pt idx="125">
                  <c:v>1166790.7417192149</c:v>
                </c:pt>
                <c:pt idx="126">
                  <c:v>1166754.0091810594</c:v>
                </c:pt>
                <c:pt idx="127">
                  <c:v>1166622.6738064315</c:v>
                </c:pt>
                <c:pt idx="128">
                  <c:v>1166648.3318518072</c:v>
                </c:pt>
                <c:pt idx="129">
                  <c:v>1166520.9046510514</c:v>
                </c:pt>
                <c:pt idx="130">
                  <c:v>1166601.2738931836</c:v>
                </c:pt>
                <c:pt idx="131">
                  <c:v>1166571.3585445834</c:v>
                </c:pt>
              </c:numCache>
            </c:numRef>
          </c:val>
          <c:smooth val="0"/>
        </c:ser>
        <c:dLbls>
          <c:showLegendKey val="0"/>
          <c:showVal val="0"/>
          <c:showCatName val="0"/>
          <c:showSerName val="0"/>
          <c:showPercent val="0"/>
          <c:showBubbleSize val="0"/>
        </c:dLbls>
        <c:smooth val="0"/>
        <c:axId val="473724144"/>
        <c:axId val="473723752"/>
      </c:lineChart>
      <c:catAx>
        <c:axId val="473724144"/>
        <c:scaling>
          <c:orientation val="minMax"/>
        </c:scaling>
        <c:delete val="0"/>
        <c:axPos val="b"/>
        <c:numFmt formatCode="m\/d\/yyyy" sourceLinked="0"/>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73723752"/>
        <c:crosses val="autoZero"/>
        <c:auto val="0"/>
        <c:lblAlgn val="ctr"/>
        <c:lblOffset val="100"/>
        <c:tickLblSkip val="4"/>
        <c:tickMarkSkip val="1"/>
        <c:noMultiLvlLbl val="0"/>
      </c:catAx>
      <c:valAx>
        <c:axId val="473723752"/>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 millions</a:t>
                </a:r>
              </a:p>
            </c:rich>
          </c:tx>
          <c:layout>
            <c:manualLayout>
              <c:xMode val="edge"/>
              <c:yMode val="edge"/>
              <c:x val="1.9274425351417709E-2"/>
              <c:y val="0.46567179102612172"/>
            </c:manualLayout>
          </c:layout>
          <c:overlay val="0"/>
          <c:spPr>
            <a:noFill/>
            <a:ln w="25400">
              <a:noFill/>
            </a:ln>
          </c:spPr>
        </c:title>
        <c:numFmt formatCode="\$#,##0_);[Red]\(\$#,##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73724144"/>
        <c:crosses val="autoZero"/>
        <c:crossBetween val="between"/>
      </c:valAx>
      <c:spPr>
        <a:solidFill>
          <a:srgbClr val="FFFFFF"/>
        </a:solidFill>
        <a:ln w="25400">
          <a:noFill/>
        </a:ln>
      </c:spPr>
    </c:plotArea>
    <c:legend>
      <c:legendPos val="r"/>
      <c:layout>
        <c:manualLayout>
          <c:xMode val="edge"/>
          <c:yMode val="edge"/>
          <c:x val="0.16666672611563418"/>
          <c:y val="0.9164179477565304"/>
          <c:w val="0.72448982382298477"/>
          <c:h val="8.358205224346959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4391025</xdr:colOff>
      <xdr:row>0</xdr:row>
      <xdr:rowOff>38100</xdr:rowOff>
    </xdr:from>
    <xdr:to>
      <xdr:col>0</xdr:col>
      <xdr:colOff>6553200</xdr:colOff>
      <xdr:row>1</xdr:row>
      <xdr:rowOff>95250</xdr:rowOff>
    </xdr:to>
    <xdr:pic>
      <xdr:nvPicPr>
        <xdr:cNvPr id="540675" name="Picture 3" descr="Logo_R_Wide302x30_081224.gif"/>
        <xdr:cNvPicPr>
          <a:picLocks noChangeAspect="1"/>
        </xdr:cNvPicPr>
      </xdr:nvPicPr>
      <xdr:blipFill>
        <a:blip xmlns:r="http://schemas.openxmlformats.org/officeDocument/2006/relationships" r:embed="rId1" cstate="print"/>
        <a:srcRect/>
        <a:stretch>
          <a:fillRect/>
        </a:stretch>
      </xdr:blipFill>
      <xdr:spPr bwMode="auto">
        <a:xfrm>
          <a:off x="4391025" y="38100"/>
          <a:ext cx="2162175" cy="219075"/>
        </a:xfrm>
        <a:prstGeom prst="rect">
          <a:avLst/>
        </a:prstGeom>
        <a:noFill/>
        <a:ln w="9525">
          <a:noFill/>
          <a:miter lim="800000"/>
          <a:headEnd/>
          <a:tailEnd/>
        </a:ln>
      </xdr:spPr>
    </xdr:pic>
    <xdr:clientData/>
  </xdr:twoCellAnchor>
  <xdr:twoCellAnchor>
    <xdr:from>
      <xdr:col>0</xdr:col>
      <xdr:colOff>1809750</xdr:colOff>
      <xdr:row>46</xdr:row>
      <xdr:rowOff>171450</xdr:rowOff>
    </xdr:from>
    <xdr:to>
      <xdr:col>0</xdr:col>
      <xdr:colOff>5019675</xdr:colOff>
      <xdr:row>46</xdr:row>
      <xdr:rowOff>1638300</xdr:rowOff>
    </xdr:to>
    <xdr:pic>
      <xdr:nvPicPr>
        <xdr:cNvPr id="540676" name="Picture 2" descr="workflow"/>
        <xdr:cNvPicPr>
          <a:picLocks noChangeAspect="1" noChangeArrowheads="1"/>
        </xdr:cNvPicPr>
      </xdr:nvPicPr>
      <xdr:blipFill>
        <a:blip xmlns:r="http://schemas.openxmlformats.org/officeDocument/2006/relationships" r:embed="rId2"/>
        <a:srcRect/>
        <a:stretch>
          <a:fillRect/>
        </a:stretch>
      </xdr:blipFill>
      <xdr:spPr bwMode="auto">
        <a:xfrm>
          <a:off x="1809750" y="4505325"/>
          <a:ext cx="3209925"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66</xdr:row>
      <xdr:rowOff>19050</xdr:rowOff>
    </xdr:from>
    <xdr:to>
      <xdr:col>13</xdr:col>
      <xdr:colOff>485775</xdr:colOff>
      <xdr:row>85</xdr:row>
      <xdr:rowOff>142875</xdr:rowOff>
    </xdr:to>
    <xdr:graphicFrame macro="">
      <xdr:nvGraphicFramePr>
        <xdr:cNvPr id="1263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87</xdr:row>
      <xdr:rowOff>28575</xdr:rowOff>
    </xdr:from>
    <xdr:to>
      <xdr:col>13</xdr:col>
      <xdr:colOff>485775</xdr:colOff>
      <xdr:row>106</xdr:row>
      <xdr:rowOff>152400</xdr:rowOff>
    </xdr:to>
    <xdr:graphicFrame macro="">
      <xdr:nvGraphicFramePr>
        <xdr:cNvPr id="1263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44</xdr:row>
      <xdr:rowOff>0</xdr:rowOff>
    </xdr:from>
    <xdr:to>
      <xdr:col>13</xdr:col>
      <xdr:colOff>485775</xdr:colOff>
      <xdr:row>63</xdr:row>
      <xdr:rowOff>123825</xdr:rowOff>
    </xdr:to>
    <xdr:graphicFrame macro="">
      <xdr:nvGraphicFramePr>
        <xdr:cNvPr id="126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0</xdr:rowOff>
    </xdr:from>
    <xdr:to>
      <xdr:col>13</xdr:col>
      <xdr:colOff>485775</xdr:colOff>
      <xdr:row>41</xdr:row>
      <xdr:rowOff>123825</xdr:rowOff>
    </xdr:to>
    <xdr:graphicFrame macro="">
      <xdr:nvGraphicFramePr>
        <xdr:cNvPr id="126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142875</xdr:rowOff>
    </xdr:from>
    <xdr:to>
      <xdr:col>13</xdr:col>
      <xdr:colOff>485775</xdr:colOff>
      <xdr:row>20</xdr:row>
      <xdr:rowOff>104775</xdr:rowOff>
    </xdr:to>
    <xdr:graphicFrame macro="">
      <xdr:nvGraphicFramePr>
        <xdr:cNvPr id="1264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emplates.modelsheetsoft.com/browser/browse.aspx?s=macroeconmodel.xls" TargetMode="External"/><Relationship Id="rId7" Type="http://schemas.openxmlformats.org/officeDocument/2006/relationships/drawing" Target="../drawings/drawing1.xml"/><Relationship Id="rId2" Type="http://schemas.openxmlformats.org/officeDocument/2006/relationships/hyperlink" Target="mailto:info@modelsheetsoft.com" TargetMode="External"/><Relationship Id="rId1" Type="http://schemas.openxmlformats.org/officeDocument/2006/relationships/hyperlink" Target="http://www.modelsheetsoft.com/refer.aspx?s=macroeconmodel.xls" TargetMode="External"/><Relationship Id="rId6" Type="http://schemas.openxmlformats.org/officeDocument/2006/relationships/printerSettings" Target="../printerSettings/printerSettings1.bin"/><Relationship Id="rId5" Type="http://schemas.openxmlformats.org/officeDocument/2006/relationships/hyperlink" Target="http://templates.modelsheetsoft.com/modelsheettemplates/macroeconomic-model-templates.aspx?s=macroeconmodel.xls" TargetMode="External"/><Relationship Id="rId4" Type="http://schemas.openxmlformats.org/officeDocument/2006/relationships/hyperlink" Target="http://www.modelsheetsoft.com/consulting-business-analysis.aspx?s=macroeconmodel.xls"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205"/>
  <sheetViews>
    <sheetView tabSelected="1" workbookViewId="0">
      <selection activeCell="B2" sqref="B2"/>
    </sheetView>
  </sheetViews>
  <sheetFormatPr defaultRowHeight="12.75" outlineLevelRow="2" x14ac:dyDescent="0.2"/>
  <cols>
    <col min="1" max="1" width="98.7109375" style="68" customWidth="1"/>
    <col min="2" max="16384" width="9.140625" style="63"/>
  </cols>
  <sheetData>
    <row r="2" spans="1:1" ht="15.75" x14ac:dyDescent="0.2">
      <c r="A2" s="62"/>
    </row>
    <row r="3" spans="1:1" ht="15.75" x14ac:dyDescent="0.2">
      <c r="A3" s="64" t="s">
        <v>330</v>
      </c>
    </row>
    <row r="5" spans="1:1" ht="15" x14ac:dyDescent="0.2">
      <c r="A5" s="65" t="s">
        <v>331</v>
      </c>
    </row>
    <row r="6" spans="1:1" x14ac:dyDescent="0.2">
      <c r="A6" s="66" t="s">
        <v>332</v>
      </c>
    </row>
    <row r="7" spans="1:1" x14ac:dyDescent="0.2">
      <c r="A7" s="67"/>
    </row>
    <row r="8" spans="1:1" ht="51" x14ac:dyDescent="0.2">
      <c r="A8" s="68" t="s">
        <v>333</v>
      </c>
    </row>
    <row r="9" spans="1:1" x14ac:dyDescent="0.2">
      <c r="A9" s="69" t="s">
        <v>334</v>
      </c>
    </row>
    <row r="10" spans="1:1" x14ac:dyDescent="0.2">
      <c r="A10" s="67"/>
    </row>
    <row r="11" spans="1:1" ht="15" x14ac:dyDescent="0.2">
      <c r="A11" s="70" t="s">
        <v>335</v>
      </c>
    </row>
    <row r="12" spans="1:1" x14ac:dyDescent="0.2">
      <c r="A12" s="67"/>
    </row>
    <row r="13" spans="1:1" collapsed="1" x14ac:dyDescent="0.2">
      <c r="A13" s="71" t="s">
        <v>336</v>
      </c>
    </row>
    <row r="14" spans="1:1" hidden="1" outlineLevel="1" x14ac:dyDescent="0.2">
      <c r="A14" s="72" t="s">
        <v>337</v>
      </c>
    </row>
    <row r="15" spans="1:1" hidden="1" outlineLevel="2" x14ac:dyDescent="0.2">
      <c r="A15" s="72" t="s">
        <v>338</v>
      </c>
    </row>
    <row r="16" spans="1:1" hidden="1" outlineLevel="2" x14ac:dyDescent="0.2">
      <c r="A16" s="73" t="s">
        <v>339</v>
      </c>
    </row>
    <row r="17" spans="1:1" hidden="1" outlineLevel="2" x14ac:dyDescent="0.2">
      <c r="A17" s="73" t="s">
        <v>340</v>
      </c>
    </row>
    <row r="18" spans="1:1" hidden="1" outlineLevel="2" x14ac:dyDescent="0.2">
      <c r="A18" s="73" t="s">
        <v>341</v>
      </c>
    </row>
    <row r="19" spans="1:1" hidden="1" outlineLevel="2" x14ac:dyDescent="0.2">
      <c r="A19" s="73" t="s">
        <v>342</v>
      </c>
    </row>
    <row r="20" spans="1:1" ht="25.5" hidden="1" outlineLevel="2" x14ac:dyDescent="0.2">
      <c r="A20" s="73" t="s">
        <v>343</v>
      </c>
    </row>
    <row r="21" spans="1:1" hidden="1" outlineLevel="1" x14ac:dyDescent="0.2">
      <c r="A21" s="72"/>
    </row>
    <row r="22" spans="1:1" hidden="1" outlineLevel="2" x14ac:dyDescent="0.2">
      <c r="A22" s="72" t="s">
        <v>344</v>
      </c>
    </row>
    <row r="23" spans="1:1" hidden="1" outlineLevel="2" x14ac:dyDescent="0.2">
      <c r="A23" s="73" t="s">
        <v>345</v>
      </c>
    </row>
    <row r="24" spans="1:1" hidden="1" outlineLevel="2" x14ac:dyDescent="0.2">
      <c r="A24" s="73" t="s">
        <v>346</v>
      </c>
    </row>
    <row r="25" spans="1:1" hidden="1" outlineLevel="2" x14ac:dyDescent="0.2">
      <c r="A25" s="73" t="s">
        <v>347</v>
      </c>
    </row>
    <row r="26" spans="1:1" hidden="1" outlineLevel="1" x14ac:dyDescent="0.2">
      <c r="A26" s="67"/>
    </row>
    <row r="27" spans="1:1" hidden="1" outlineLevel="2" x14ac:dyDescent="0.2">
      <c r="A27" s="72" t="s">
        <v>348</v>
      </c>
    </row>
    <row r="28" spans="1:1" hidden="1" outlineLevel="2" x14ac:dyDescent="0.2">
      <c r="A28" s="73" t="s">
        <v>349</v>
      </c>
    </row>
    <row r="29" spans="1:1" ht="25.5" hidden="1" outlineLevel="2" x14ac:dyDescent="0.2">
      <c r="A29" s="73" t="s">
        <v>350</v>
      </c>
    </row>
    <row r="30" spans="1:1" hidden="1" outlineLevel="1" x14ac:dyDescent="0.2">
      <c r="A30" s="73" t="s">
        <v>351</v>
      </c>
    </row>
    <row r="31" spans="1:1" x14ac:dyDescent="0.2">
      <c r="A31" s="72" t="s">
        <v>337</v>
      </c>
    </row>
    <row r="32" spans="1:1" x14ac:dyDescent="0.2">
      <c r="A32" s="74" t="s">
        <v>479</v>
      </c>
    </row>
    <row r="33" spans="1:1" x14ac:dyDescent="0.2">
      <c r="A33" s="67"/>
    </row>
    <row r="34" spans="1:1" collapsed="1" x14ac:dyDescent="0.2">
      <c r="A34" s="71" t="s">
        <v>352</v>
      </c>
    </row>
    <row r="35" spans="1:1" hidden="1" outlineLevel="1" x14ac:dyDescent="0.2">
      <c r="A35" s="72" t="s">
        <v>337</v>
      </c>
    </row>
    <row r="36" spans="1:1" hidden="1" outlineLevel="1" x14ac:dyDescent="0.2">
      <c r="A36" s="72" t="s">
        <v>353</v>
      </c>
    </row>
    <row r="37" spans="1:1" hidden="1" outlineLevel="1" x14ac:dyDescent="0.2">
      <c r="A37" s="72" t="s">
        <v>354</v>
      </c>
    </row>
    <row r="38" spans="1:1" x14ac:dyDescent="0.2">
      <c r="A38" s="72" t="s">
        <v>337</v>
      </c>
    </row>
    <row r="39" spans="1:1" x14ac:dyDescent="0.2">
      <c r="A39" s="74" t="s">
        <v>480</v>
      </c>
    </row>
    <row r="40" spans="1:1" x14ac:dyDescent="0.2">
      <c r="A40" s="67"/>
    </row>
    <row r="41" spans="1:1" x14ac:dyDescent="0.2">
      <c r="A41" s="71" t="s">
        <v>355</v>
      </c>
    </row>
    <row r="42" spans="1:1" x14ac:dyDescent="0.2">
      <c r="A42" s="67"/>
    </row>
    <row r="43" spans="1:1" ht="25.5" collapsed="1" x14ac:dyDescent="0.2">
      <c r="A43" s="75" t="s">
        <v>356</v>
      </c>
    </row>
    <row r="44" spans="1:1" hidden="1" outlineLevel="1" x14ac:dyDescent="0.2">
      <c r="A44" s="72" t="s">
        <v>357</v>
      </c>
    </row>
    <row r="45" spans="1:1" hidden="1" outlineLevel="1" x14ac:dyDescent="0.2">
      <c r="A45" s="76"/>
    </row>
    <row r="46" spans="1:1" ht="63.75" hidden="1" outlineLevel="1" x14ac:dyDescent="0.2">
      <c r="A46" s="77" t="s">
        <v>358</v>
      </c>
    </row>
    <row r="47" spans="1:1" ht="140.1" hidden="1" customHeight="1" outlineLevel="1" x14ac:dyDescent="0.2">
      <c r="A47" s="78"/>
    </row>
    <row r="48" spans="1:1" ht="89.25" hidden="1" outlineLevel="1" x14ac:dyDescent="0.2">
      <c r="A48" s="79" t="s">
        <v>359</v>
      </c>
    </row>
    <row r="49" spans="1:1" hidden="1" outlineLevel="1" x14ac:dyDescent="0.2">
      <c r="A49" s="79"/>
    </row>
    <row r="50" spans="1:1" ht="63.75" x14ac:dyDescent="0.2">
      <c r="A50" s="80" t="s">
        <v>360</v>
      </c>
    </row>
    <row r="51" spans="1:1" x14ac:dyDescent="0.2">
      <c r="A51" s="67"/>
    </row>
    <row r="52" spans="1:1" x14ac:dyDescent="0.2">
      <c r="A52" s="78" t="s">
        <v>361</v>
      </c>
    </row>
    <row r="53" spans="1:1" x14ac:dyDescent="0.2">
      <c r="A53" s="69" t="s">
        <v>362</v>
      </c>
    </row>
    <row r="54" spans="1:1" x14ac:dyDescent="0.2">
      <c r="A54" s="69" t="s">
        <v>363</v>
      </c>
    </row>
    <row r="55" spans="1:1" x14ac:dyDescent="0.2">
      <c r="A55" s="81"/>
    </row>
    <row r="56" spans="1:1" x14ac:dyDescent="0.2">
      <c r="A56" s="82"/>
    </row>
    <row r="57" spans="1:1" x14ac:dyDescent="0.2">
      <c r="A57" s="83"/>
    </row>
    <row r="58" spans="1:1" ht="15" x14ac:dyDescent="0.2">
      <c r="A58" s="70" t="s">
        <v>364</v>
      </c>
    </row>
    <row r="60" spans="1:1" ht="51" x14ac:dyDescent="0.2">
      <c r="A60" s="68" t="s">
        <v>478</v>
      </c>
    </row>
    <row r="62" spans="1:1" x14ac:dyDescent="0.2">
      <c r="A62" s="68" t="s">
        <v>365</v>
      </c>
    </row>
    <row r="64" spans="1:1" ht="38.25" x14ac:dyDescent="0.2">
      <c r="A64" s="84" t="s">
        <v>366</v>
      </c>
    </row>
    <row r="65" spans="1:1" x14ac:dyDescent="0.2">
      <c r="A65" s="84"/>
    </row>
    <row r="66" spans="1:1" ht="25.5" x14ac:dyDescent="0.2">
      <c r="A66" s="84" t="s">
        <v>367</v>
      </c>
    </row>
    <row r="68" spans="1:1" ht="25.5" x14ac:dyDescent="0.2">
      <c r="A68" s="68" t="s">
        <v>368</v>
      </c>
    </row>
    <row r="69" spans="1:1" ht="25.5" x14ac:dyDescent="0.2">
      <c r="A69" s="68" t="s">
        <v>369</v>
      </c>
    </row>
    <row r="71" spans="1:1" x14ac:dyDescent="0.2">
      <c r="A71" s="85" t="s">
        <v>370</v>
      </c>
    </row>
    <row r="72" spans="1:1" ht="25.5" x14ac:dyDescent="0.2">
      <c r="A72" s="72" t="s">
        <v>371</v>
      </c>
    </row>
    <row r="73" spans="1:1" ht="38.25" x14ac:dyDescent="0.2">
      <c r="A73" s="72" t="s">
        <v>372</v>
      </c>
    </row>
    <row r="75" spans="1:1" x14ac:dyDescent="0.2">
      <c r="A75" s="71" t="s">
        <v>373</v>
      </c>
    </row>
    <row r="77" spans="1:1" ht="25.5" x14ac:dyDescent="0.2">
      <c r="A77" s="68" t="s">
        <v>483</v>
      </c>
    </row>
    <row r="79" spans="1:1" x14ac:dyDescent="0.2">
      <c r="A79" s="68" t="s">
        <v>374</v>
      </c>
    </row>
    <row r="81" spans="1:1" ht="38.25" x14ac:dyDescent="0.2">
      <c r="A81" s="86" t="s">
        <v>484</v>
      </c>
    </row>
    <row r="82" spans="1:1" x14ac:dyDescent="0.2">
      <c r="A82" s="108" t="s">
        <v>485</v>
      </c>
    </row>
    <row r="83" spans="1:1" x14ac:dyDescent="0.2">
      <c r="A83" s="83"/>
    </row>
    <row r="84" spans="1:1" x14ac:dyDescent="0.2">
      <c r="A84" s="82"/>
    </row>
    <row r="85" spans="1:1" x14ac:dyDescent="0.2">
      <c r="A85" s="85"/>
    </row>
    <row r="86" spans="1:1" ht="15" x14ac:dyDescent="0.2">
      <c r="A86" s="109" t="s">
        <v>375</v>
      </c>
    </row>
    <row r="87" spans="1:1" x14ac:dyDescent="0.2">
      <c r="A87" s="87"/>
    </row>
    <row r="88" spans="1:1" x14ac:dyDescent="0.2">
      <c r="A88" s="88" t="s">
        <v>376</v>
      </c>
    </row>
    <row r="89" spans="1:1" x14ac:dyDescent="0.2">
      <c r="A89" s="89" t="s">
        <v>377</v>
      </c>
    </row>
    <row r="90" spans="1:1" x14ac:dyDescent="0.2">
      <c r="A90" s="90" t="s">
        <v>378</v>
      </c>
    </row>
    <row r="91" spans="1:1" x14ac:dyDescent="0.2">
      <c r="A91" s="87"/>
    </row>
    <row r="92" spans="1:1" x14ac:dyDescent="0.2">
      <c r="A92" s="91" t="s">
        <v>379</v>
      </c>
    </row>
    <row r="94" spans="1:1" x14ac:dyDescent="0.2">
      <c r="A94" s="92" t="s">
        <v>380</v>
      </c>
    </row>
    <row r="95" spans="1:1" x14ac:dyDescent="0.2">
      <c r="A95" s="92" t="s">
        <v>381</v>
      </c>
    </row>
    <row r="96" spans="1:1" x14ac:dyDescent="0.2">
      <c r="A96" s="92" t="s">
        <v>382</v>
      </c>
    </row>
    <row r="97" spans="1:1" x14ac:dyDescent="0.2">
      <c r="A97" s="92" t="s">
        <v>383</v>
      </c>
    </row>
    <row r="98" spans="1:1" x14ac:dyDescent="0.2">
      <c r="A98" s="92" t="s">
        <v>384</v>
      </c>
    </row>
    <row r="99" spans="1:1" x14ac:dyDescent="0.2">
      <c r="A99" s="92" t="s">
        <v>383</v>
      </c>
    </row>
    <row r="100" spans="1:1" x14ac:dyDescent="0.2">
      <c r="A100" s="93" t="s">
        <v>385</v>
      </c>
    </row>
    <row r="101" spans="1:1" x14ac:dyDescent="0.2">
      <c r="A101" s="94" t="s">
        <v>386</v>
      </c>
    </row>
    <row r="102" spans="1:1" x14ac:dyDescent="0.2">
      <c r="A102" s="94" t="s">
        <v>387</v>
      </c>
    </row>
    <row r="103" spans="1:1" x14ac:dyDescent="0.2">
      <c r="A103" s="95" t="s">
        <v>388</v>
      </c>
    </row>
    <row r="104" spans="1:1" x14ac:dyDescent="0.2">
      <c r="A104" s="95" t="s">
        <v>389</v>
      </c>
    </row>
    <row r="106" spans="1:1" x14ac:dyDescent="0.2">
      <c r="A106" s="91" t="s">
        <v>390</v>
      </c>
    </row>
    <row r="107" spans="1:1" x14ac:dyDescent="0.2">
      <c r="A107" s="91"/>
    </row>
    <row r="108" spans="1:1" x14ac:dyDescent="0.2">
      <c r="A108" s="72" t="s">
        <v>391</v>
      </c>
    </row>
    <row r="109" spans="1:1" ht="25.5" x14ac:dyDescent="0.2">
      <c r="A109" s="72" t="s">
        <v>392</v>
      </c>
    </row>
    <row r="110" spans="1:1" ht="25.5" x14ac:dyDescent="0.2">
      <c r="A110" s="72" t="s">
        <v>393</v>
      </c>
    </row>
    <row r="111" spans="1:1" x14ac:dyDescent="0.2">
      <c r="A111" s="72" t="s">
        <v>394</v>
      </c>
    </row>
    <row r="112" spans="1:1" ht="25.5" x14ac:dyDescent="0.2">
      <c r="A112" s="72" t="s">
        <v>395</v>
      </c>
    </row>
    <row r="113" spans="1:1" x14ac:dyDescent="0.2">
      <c r="A113" s="96" t="s">
        <v>396</v>
      </c>
    </row>
    <row r="114" spans="1:1" x14ac:dyDescent="0.2">
      <c r="A114" s="97" t="s">
        <v>397</v>
      </c>
    </row>
    <row r="115" spans="1:1" x14ac:dyDescent="0.2">
      <c r="A115" s="97" t="s">
        <v>398</v>
      </c>
    </row>
    <row r="116" spans="1:1" x14ac:dyDescent="0.2">
      <c r="A116" s="98" t="s">
        <v>399</v>
      </c>
    </row>
    <row r="117" spans="1:1" ht="25.5" x14ac:dyDescent="0.2">
      <c r="A117" s="98" t="s">
        <v>400</v>
      </c>
    </row>
    <row r="118" spans="1:1" x14ac:dyDescent="0.2">
      <c r="A118" s="72"/>
    </row>
    <row r="119" spans="1:1" x14ac:dyDescent="0.2">
      <c r="A119" s="99" t="s">
        <v>401</v>
      </c>
    </row>
    <row r="120" spans="1:1" x14ac:dyDescent="0.2">
      <c r="A120" s="99"/>
    </row>
    <row r="121" spans="1:1" x14ac:dyDescent="0.2">
      <c r="A121" s="72" t="s">
        <v>402</v>
      </c>
    </row>
    <row r="122" spans="1:1" ht="25.5" x14ac:dyDescent="0.2">
      <c r="A122" s="73" t="s">
        <v>403</v>
      </c>
    </row>
    <row r="123" spans="1:1" ht="38.25" x14ac:dyDescent="0.2">
      <c r="A123" s="73" t="s">
        <v>404</v>
      </c>
    </row>
    <row r="124" spans="1:1" x14ac:dyDescent="0.2">
      <c r="A124" s="73" t="s">
        <v>405</v>
      </c>
    </row>
    <row r="125" spans="1:1" x14ac:dyDescent="0.2">
      <c r="A125" s="73" t="s">
        <v>406</v>
      </c>
    </row>
    <row r="126" spans="1:1" x14ac:dyDescent="0.2">
      <c r="A126" s="100" t="s">
        <v>407</v>
      </c>
    </row>
    <row r="127" spans="1:1" x14ac:dyDescent="0.2">
      <c r="A127" s="72" t="s">
        <v>408</v>
      </c>
    </row>
    <row r="128" spans="1:1" ht="25.5" x14ac:dyDescent="0.2">
      <c r="A128" s="73" t="s">
        <v>409</v>
      </c>
    </row>
    <row r="129" spans="1:1" ht="25.5" x14ac:dyDescent="0.2">
      <c r="A129" s="101" t="s">
        <v>410</v>
      </c>
    </row>
    <row r="130" spans="1:1" x14ac:dyDescent="0.2">
      <c r="A130" s="72" t="s">
        <v>411</v>
      </c>
    </row>
    <row r="131" spans="1:1" x14ac:dyDescent="0.2">
      <c r="A131" s="73" t="s">
        <v>412</v>
      </c>
    </row>
    <row r="132" spans="1:1" x14ac:dyDescent="0.2">
      <c r="A132" s="100" t="s">
        <v>413</v>
      </c>
    </row>
    <row r="133" spans="1:1" x14ac:dyDescent="0.2">
      <c r="A133" s="73" t="s">
        <v>414</v>
      </c>
    </row>
    <row r="134" spans="1:1" x14ac:dyDescent="0.2">
      <c r="A134" s="73" t="s">
        <v>415</v>
      </c>
    </row>
    <row r="135" spans="1:1" x14ac:dyDescent="0.2">
      <c r="A135" s="73" t="s">
        <v>416</v>
      </c>
    </row>
    <row r="136" spans="1:1" x14ac:dyDescent="0.2">
      <c r="A136" s="72" t="s">
        <v>417</v>
      </c>
    </row>
    <row r="137" spans="1:1" ht="25.5" x14ac:dyDescent="0.2">
      <c r="A137" s="102" t="s">
        <v>418</v>
      </c>
    </row>
    <row r="138" spans="1:1" x14ac:dyDescent="0.2">
      <c r="A138" s="103" t="s">
        <v>419</v>
      </c>
    </row>
    <row r="139" spans="1:1" ht="38.25" x14ac:dyDescent="0.2">
      <c r="A139" s="101" t="s">
        <v>420</v>
      </c>
    </row>
    <row r="140" spans="1:1" x14ac:dyDescent="0.2">
      <c r="A140" s="104" t="s">
        <v>421</v>
      </c>
    </row>
    <row r="141" spans="1:1" x14ac:dyDescent="0.2">
      <c r="A141" s="73" t="s">
        <v>422</v>
      </c>
    </row>
    <row r="142" spans="1:1" x14ac:dyDescent="0.2">
      <c r="A142" s="73" t="s">
        <v>423</v>
      </c>
    </row>
    <row r="143" spans="1:1" ht="25.5" x14ac:dyDescent="0.2">
      <c r="A143" s="102" t="s">
        <v>424</v>
      </c>
    </row>
    <row r="144" spans="1:1" x14ac:dyDescent="0.2">
      <c r="A144" s="103" t="s">
        <v>425</v>
      </c>
    </row>
    <row r="145" spans="1:1" x14ac:dyDescent="0.2">
      <c r="A145" s="72" t="s">
        <v>426</v>
      </c>
    </row>
    <row r="146" spans="1:1" x14ac:dyDescent="0.2">
      <c r="A146" s="73" t="s">
        <v>427</v>
      </c>
    </row>
    <row r="147" spans="1:1" x14ac:dyDescent="0.2">
      <c r="A147" s="73" t="s">
        <v>428</v>
      </c>
    </row>
    <row r="148" spans="1:1" x14ac:dyDescent="0.2">
      <c r="A148" s="73" t="s">
        <v>429</v>
      </c>
    </row>
    <row r="150" spans="1:1" x14ac:dyDescent="0.2">
      <c r="A150" s="91" t="s">
        <v>430</v>
      </c>
    </row>
    <row r="152" spans="1:1" x14ac:dyDescent="0.2">
      <c r="A152" s="72" t="s">
        <v>411</v>
      </c>
    </row>
    <row r="153" spans="1:1" x14ac:dyDescent="0.2">
      <c r="A153" s="73" t="s">
        <v>431</v>
      </c>
    </row>
    <row r="154" spans="1:1" x14ac:dyDescent="0.2">
      <c r="A154" s="73" t="s">
        <v>432</v>
      </c>
    </row>
    <row r="155" spans="1:1" x14ac:dyDescent="0.2">
      <c r="A155" s="73" t="s">
        <v>433</v>
      </c>
    </row>
    <row r="156" spans="1:1" x14ac:dyDescent="0.2">
      <c r="A156" s="73" t="s">
        <v>434</v>
      </c>
    </row>
    <row r="157" spans="1:1" x14ac:dyDescent="0.2">
      <c r="A157" s="72" t="s">
        <v>435</v>
      </c>
    </row>
    <row r="158" spans="1:1" x14ac:dyDescent="0.2">
      <c r="A158" s="73" t="s">
        <v>436</v>
      </c>
    </row>
    <row r="159" spans="1:1" ht="25.5" x14ac:dyDescent="0.2">
      <c r="A159" s="73" t="s">
        <v>437</v>
      </c>
    </row>
    <row r="160" spans="1:1" x14ac:dyDescent="0.2">
      <c r="A160" s="73" t="s">
        <v>438</v>
      </c>
    </row>
    <row r="161" spans="1:1" x14ac:dyDescent="0.2">
      <c r="A161" s="73" t="s">
        <v>439</v>
      </c>
    </row>
    <row r="162" spans="1:1" x14ac:dyDescent="0.2">
      <c r="A162" s="100" t="s">
        <v>440</v>
      </c>
    </row>
    <row r="163" spans="1:1" x14ac:dyDescent="0.2">
      <c r="A163" s="105" t="s">
        <v>441</v>
      </c>
    </row>
    <row r="164" spans="1:1" x14ac:dyDescent="0.2">
      <c r="A164" s="73" t="s">
        <v>442</v>
      </c>
    </row>
    <row r="165" spans="1:1" x14ac:dyDescent="0.2">
      <c r="A165" s="73" t="s">
        <v>443</v>
      </c>
    </row>
    <row r="166" spans="1:1" x14ac:dyDescent="0.2">
      <c r="A166" s="73" t="s">
        <v>444</v>
      </c>
    </row>
    <row r="167" spans="1:1" ht="25.5" x14ac:dyDescent="0.2">
      <c r="A167" s="102" t="s">
        <v>445</v>
      </c>
    </row>
    <row r="168" spans="1:1" x14ac:dyDescent="0.2">
      <c r="A168" s="73" t="s">
        <v>446</v>
      </c>
    </row>
    <row r="169" spans="1:1" x14ac:dyDescent="0.2">
      <c r="A169" s="73" t="s">
        <v>447</v>
      </c>
    </row>
    <row r="170" spans="1:1" x14ac:dyDescent="0.2">
      <c r="A170" s="102" t="s">
        <v>448</v>
      </c>
    </row>
    <row r="171" spans="1:1" x14ac:dyDescent="0.2">
      <c r="A171" s="102" t="s">
        <v>449</v>
      </c>
    </row>
    <row r="172" spans="1:1" x14ac:dyDescent="0.2">
      <c r="A172" s="68" t="s">
        <v>450</v>
      </c>
    </row>
    <row r="173" spans="1:1" x14ac:dyDescent="0.2">
      <c r="A173" s="73" t="s">
        <v>451</v>
      </c>
    </row>
    <row r="174" spans="1:1" x14ac:dyDescent="0.2">
      <c r="A174" s="102" t="s">
        <v>452</v>
      </c>
    </row>
    <row r="175" spans="1:1" x14ac:dyDescent="0.2">
      <c r="A175" s="100" t="s">
        <v>453</v>
      </c>
    </row>
    <row r="176" spans="1:1" x14ac:dyDescent="0.2">
      <c r="A176" s="106" t="s">
        <v>454</v>
      </c>
    </row>
    <row r="177" spans="1:1" x14ac:dyDescent="0.2">
      <c r="A177" s="106" t="s">
        <v>455</v>
      </c>
    </row>
    <row r="178" spans="1:1" x14ac:dyDescent="0.2">
      <c r="A178" s="107" t="s">
        <v>456</v>
      </c>
    </row>
    <row r="179" spans="1:1" x14ac:dyDescent="0.2">
      <c r="A179" s="73" t="s">
        <v>457</v>
      </c>
    </row>
    <row r="180" spans="1:1" ht="25.5" x14ac:dyDescent="0.2">
      <c r="A180" s="73" t="s">
        <v>458</v>
      </c>
    </row>
    <row r="181" spans="1:1" ht="25.5" x14ac:dyDescent="0.2">
      <c r="A181" s="73" t="s">
        <v>459</v>
      </c>
    </row>
    <row r="182" spans="1:1" x14ac:dyDescent="0.2">
      <c r="A182" s="68" t="s">
        <v>460</v>
      </c>
    </row>
    <row r="183" spans="1:1" x14ac:dyDescent="0.2">
      <c r="A183" s="101" t="s">
        <v>461</v>
      </c>
    </row>
    <row r="184" spans="1:1" x14ac:dyDescent="0.2">
      <c r="A184" s="101" t="s">
        <v>462</v>
      </c>
    </row>
    <row r="185" spans="1:1" x14ac:dyDescent="0.2">
      <c r="A185" s="101" t="s">
        <v>463</v>
      </c>
    </row>
    <row r="186" spans="1:1" x14ac:dyDescent="0.2">
      <c r="A186" s="106" t="s">
        <v>464</v>
      </c>
    </row>
    <row r="188" spans="1:1" x14ac:dyDescent="0.2">
      <c r="A188" s="91" t="s">
        <v>465</v>
      </c>
    </row>
    <row r="190" spans="1:1" x14ac:dyDescent="0.2">
      <c r="A190" s="73" t="s">
        <v>466</v>
      </c>
    </row>
    <row r="191" spans="1:1" x14ac:dyDescent="0.2">
      <c r="A191" s="100" t="s">
        <v>467</v>
      </c>
    </row>
    <row r="192" spans="1:1" x14ac:dyDescent="0.2">
      <c r="A192" s="73" t="s">
        <v>468</v>
      </c>
    </row>
    <row r="193" spans="1:1" x14ac:dyDescent="0.2">
      <c r="A193" s="73" t="s">
        <v>469</v>
      </c>
    </row>
    <row r="194" spans="1:1" x14ac:dyDescent="0.2">
      <c r="A194" s="73" t="s">
        <v>470</v>
      </c>
    </row>
    <row r="195" spans="1:1" x14ac:dyDescent="0.2">
      <c r="A195" s="102" t="s">
        <v>471</v>
      </c>
    </row>
    <row r="196" spans="1:1" ht="25.5" x14ac:dyDescent="0.2">
      <c r="A196" s="103" t="s">
        <v>472</v>
      </c>
    </row>
    <row r="197" spans="1:1" x14ac:dyDescent="0.2">
      <c r="A197" s="73" t="s">
        <v>473</v>
      </c>
    </row>
    <row r="198" spans="1:1" x14ac:dyDescent="0.2">
      <c r="A198" s="101" t="s">
        <v>474</v>
      </c>
    </row>
    <row r="199" spans="1:1" x14ac:dyDescent="0.2">
      <c r="A199" s="101" t="s">
        <v>475</v>
      </c>
    </row>
    <row r="200" spans="1:1" x14ac:dyDescent="0.2">
      <c r="A200" s="106" t="s">
        <v>476</v>
      </c>
    </row>
    <row r="202" spans="1:1" x14ac:dyDescent="0.2">
      <c r="A202" s="68" t="s">
        <v>481</v>
      </c>
    </row>
    <row r="204" spans="1:1" x14ac:dyDescent="0.2">
      <c r="A204" s="68" t="s">
        <v>482</v>
      </c>
    </row>
    <row r="205" spans="1:1" x14ac:dyDescent="0.2">
      <c r="A205" s="68" t="s">
        <v>477</v>
      </c>
    </row>
  </sheetData>
  <hyperlinks>
    <hyperlink ref="A53" r:id="rId1"/>
    <hyperlink ref="A54" r:id="rId2"/>
    <hyperlink ref="A32" r:id="rId3"/>
    <hyperlink ref="A39" r:id="rId4"/>
    <hyperlink ref="A9"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2"/>
  <sheetViews>
    <sheetView workbookViewId="0"/>
  </sheetViews>
  <sheetFormatPr defaultRowHeight="12.75" customHeight="1" x14ac:dyDescent="0.2"/>
  <cols>
    <col min="1" max="1" width="21.85546875" customWidth="1"/>
    <col min="2" max="5" width="8.7109375" customWidth="1"/>
    <col min="6" max="6" width="8.85546875" customWidth="1"/>
    <col min="7" max="8" width="8.7109375" customWidth="1"/>
    <col min="9" max="9" width="9" customWidth="1"/>
    <col min="10" max="11" width="8.7109375" customWidth="1"/>
    <col min="12" max="12" width="8.85546875" customWidth="1"/>
    <col min="13" max="13" width="8.7109375" customWidth="1"/>
    <col min="14" max="14" width="9.5703125" customWidth="1"/>
    <col min="15" max="18" width="8.7109375" customWidth="1"/>
    <col min="19" max="19" width="8.85546875" customWidth="1"/>
    <col min="20" max="21" width="8.7109375" customWidth="1"/>
    <col min="22" max="22" width="8.85546875" customWidth="1"/>
    <col min="23" max="24" width="8.7109375" customWidth="1"/>
    <col min="25" max="25" width="8.85546875" customWidth="1"/>
    <col min="26" max="26" width="8.7109375" customWidth="1"/>
    <col min="27" max="27" width="9.5703125" customWidth="1"/>
    <col min="28" max="31" width="8.7109375" customWidth="1"/>
    <col min="32" max="32" width="8.85546875" customWidth="1"/>
    <col min="33" max="34" width="8.7109375" customWidth="1"/>
    <col min="35" max="35" width="9" customWidth="1"/>
    <col min="36" max="37" width="8.7109375" customWidth="1"/>
    <col min="38" max="38" width="8.85546875" customWidth="1"/>
    <col min="39" max="39" width="8.7109375" customWidth="1"/>
    <col min="40" max="40" width="9.5703125" customWidth="1"/>
    <col min="41" max="41" width="8.5703125" customWidth="1"/>
    <col min="42" max="42" width="8.7109375" customWidth="1"/>
    <col min="43" max="44" width="8.5703125" customWidth="1"/>
    <col min="45" max="45" width="8.85546875" customWidth="1"/>
    <col min="46" max="46" width="8.7109375" customWidth="1"/>
    <col min="47" max="47" width="8.140625" customWidth="1"/>
    <col min="48" max="48" width="9" customWidth="1"/>
    <col min="49" max="49" width="8.7109375" customWidth="1"/>
    <col min="50" max="50" width="8.5703125" customWidth="1"/>
    <col min="51" max="51" width="8.85546875" customWidth="1"/>
    <col min="52" max="52" width="8.7109375" customWidth="1"/>
    <col min="53" max="53" width="9.5703125" customWidth="1"/>
    <col min="54" max="54" width="8.5703125" customWidth="1"/>
    <col min="55" max="55" width="8.7109375" customWidth="1"/>
    <col min="56" max="57" width="8.5703125" customWidth="1"/>
    <col min="58" max="58" width="8.85546875" customWidth="1"/>
    <col min="59" max="59" width="8.7109375" customWidth="1"/>
    <col min="60" max="60" width="8.140625" customWidth="1"/>
    <col min="61" max="61" width="9" customWidth="1"/>
    <col min="62" max="62" width="8.7109375" customWidth="1"/>
    <col min="63" max="63" width="8.5703125" customWidth="1"/>
    <col min="64" max="64" width="8.85546875" customWidth="1"/>
    <col min="65" max="65" width="8.7109375" customWidth="1"/>
    <col min="66" max="66" width="9.5703125" customWidth="1"/>
    <col min="67" max="67" width="8.5703125" customWidth="1"/>
    <col min="68" max="68" width="8.7109375" customWidth="1"/>
    <col min="69" max="70" width="8.5703125" customWidth="1"/>
    <col min="71" max="71" width="8.85546875" customWidth="1"/>
    <col min="72" max="72" width="8.7109375" customWidth="1"/>
    <col min="73" max="73" width="8.140625" customWidth="1"/>
    <col min="74" max="74" width="9" customWidth="1"/>
    <col min="75" max="75" width="8.7109375" customWidth="1"/>
    <col min="76" max="76" width="8.5703125" customWidth="1"/>
    <col min="77" max="77" width="8.85546875" customWidth="1"/>
    <col min="78" max="78" width="8.7109375" customWidth="1"/>
    <col min="79" max="79" width="9.5703125" customWidth="1"/>
    <col min="80" max="80" width="8.5703125" customWidth="1"/>
    <col min="81" max="81" width="8.7109375" customWidth="1"/>
    <col min="82" max="83" width="8.5703125" customWidth="1"/>
    <col min="84" max="84" width="8.85546875" customWidth="1"/>
    <col min="85" max="85" width="8.7109375" customWidth="1"/>
    <col min="86" max="86" width="8.140625" customWidth="1"/>
    <col min="87" max="87" width="9" customWidth="1"/>
    <col min="88" max="88" width="8.7109375" customWidth="1"/>
    <col min="89" max="89" width="8.5703125" customWidth="1"/>
    <col min="90" max="90" width="8.85546875" customWidth="1"/>
    <col min="91" max="91" width="8.7109375" customWidth="1"/>
    <col min="92" max="92" width="9.5703125" customWidth="1"/>
    <col min="93" max="93" width="8.5703125" customWidth="1"/>
    <col min="94" max="94" width="8.7109375" customWidth="1"/>
    <col min="95" max="96" width="8.5703125" customWidth="1"/>
    <col min="97" max="97" width="8.85546875" customWidth="1"/>
    <col min="98" max="98" width="8.7109375" customWidth="1"/>
    <col min="99" max="99" width="8.140625" customWidth="1"/>
    <col min="100" max="100" width="9" customWidth="1"/>
    <col min="101" max="101" width="8.7109375" customWidth="1"/>
    <col min="102" max="102" width="8.5703125" customWidth="1"/>
    <col min="103" max="103" width="8.85546875" customWidth="1"/>
    <col min="104" max="104" width="8.7109375" customWidth="1"/>
    <col min="105" max="105" width="9.5703125" customWidth="1"/>
    <col min="106" max="106" width="8.5703125" customWidth="1"/>
    <col min="107" max="107" width="8.7109375" customWidth="1"/>
    <col min="108" max="109" width="8.5703125" customWidth="1"/>
    <col min="110" max="110" width="8.85546875" customWidth="1"/>
    <col min="111" max="111" width="8.7109375" customWidth="1"/>
    <col min="112" max="112" width="8.140625" customWidth="1"/>
    <col min="113" max="113" width="9" customWidth="1"/>
    <col min="114" max="114" width="8.7109375" customWidth="1"/>
    <col min="115" max="115" width="8.5703125" customWidth="1"/>
    <col min="116" max="116" width="8.85546875" customWidth="1"/>
    <col min="117" max="117" width="8.7109375" customWidth="1"/>
    <col min="118" max="118" width="9.5703125" customWidth="1"/>
    <col min="119" max="119" width="8.5703125" customWidth="1"/>
    <col min="120" max="120" width="8.7109375" customWidth="1"/>
    <col min="121" max="122" width="8.5703125" customWidth="1"/>
    <col min="123" max="123" width="8.85546875" customWidth="1"/>
    <col min="124" max="124" width="8.7109375" customWidth="1"/>
    <col min="125" max="125" width="8.140625" customWidth="1"/>
    <col min="126" max="126" width="9" customWidth="1"/>
    <col min="127" max="127" width="8.7109375" customWidth="1"/>
    <col min="128" max="128" width="8.5703125" customWidth="1"/>
    <col min="129" max="129" width="8.85546875" customWidth="1"/>
    <col min="130" max="130" width="8.7109375" customWidth="1"/>
    <col min="131" max="131" width="9.5703125" customWidth="1"/>
    <col min="132" max="132" width="8.5703125" customWidth="1"/>
    <col min="133" max="133" width="8.7109375" customWidth="1"/>
    <col min="134" max="135" width="8.5703125" customWidth="1"/>
    <col min="136" max="136" width="8.85546875" customWidth="1"/>
    <col min="137" max="137" width="8.7109375" customWidth="1"/>
    <col min="138" max="138" width="8.140625" customWidth="1"/>
    <col min="139" max="139" width="9" customWidth="1"/>
    <col min="140" max="140" width="8.7109375" customWidth="1"/>
    <col min="141" max="141" width="8.5703125" customWidth="1"/>
    <col min="142" max="142" width="8.85546875" customWidth="1"/>
    <col min="143" max="143" width="8.7109375" customWidth="1"/>
    <col min="144" max="144" width="9.570312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"Shocks"</f>
        <v>Shocks</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Labels!B44</f>
        <v>Aggregate Demand Shock</v>
      </c>
      <c r="B7" s="22">
        <f ca="1">Demand!B9</f>
        <v>-3360.7383868432466</v>
      </c>
      <c r="C7" s="22">
        <f ca="1">Demand!C9</f>
        <v>-32141.295145863223</v>
      </c>
      <c r="D7" s="22">
        <f ca="1">Demand!D9</f>
        <v>47007.48768850269</v>
      </c>
      <c r="E7" s="22">
        <f ca="1">Demand!E9</f>
        <v>55798.923051017118</v>
      </c>
      <c r="F7" s="22">
        <f ca="1">Demand!F9</f>
        <v>-54748.146013144949</v>
      </c>
      <c r="G7" s="22">
        <f ca="1">Demand!G9</f>
        <v>5420.9272965165746</v>
      </c>
      <c r="H7" s="22">
        <f ca="1">Demand!H9</f>
        <v>-10766.920912184762</v>
      </c>
      <c r="I7" s="22">
        <f ca="1">Demand!I9</f>
        <v>7580.942683773269</v>
      </c>
      <c r="J7" s="22">
        <f ca="1">Demand!J9</f>
        <v>22377.542770510503</v>
      </c>
      <c r="K7" s="22">
        <f ca="1">Demand!K9</f>
        <v>4291.2918902324463</v>
      </c>
      <c r="L7" s="22">
        <f ca="1">Demand!L9</f>
        <v>13551.743508593003</v>
      </c>
      <c r="M7" s="22">
        <f ca="1">Demand!M9</f>
        <v>16027.754188652434</v>
      </c>
      <c r="N7" s="23">
        <f ca="1">SUM(Demand!B9:M9)</f>
        <v>71039.512619761867</v>
      </c>
      <c r="O7" s="22">
        <f ca="1">Demand!O9</f>
        <v>-18272.311287497996</v>
      </c>
      <c r="P7" s="22">
        <f ca="1">Demand!P9</f>
        <v>48057.635060219509</v>
      </c>
      <c r="Q7" s="22">
        <f ca="1">Demand!Q9</f>
        <v>-39464.636282922111</v>
      </c>
      <c r="R7" s="22">
        <f ca="1">Demand!R9</f>
        <v>31004.033476080444</v>
      </c>
      <c r="S7" s="22">
        <f ca="1">Demand!S9</f>
        <v>50320.61659719974</v>
      </c>
      <c r="T7" s="22">
        <f ca="1">Demand!T9</f>
        <v>58483.322755631125</v>
      </c>
      <c r="U7" s="22">
        <f ca="1">Demand!U9</f>
        <v>-61843.485034555597</v>
      </c>
      <c r="V7" s="22">
        <f ca="1">Demand!V9</f>
        <v>4723.2464172902146</v>
      </c>
      <c r="W7" s="22">
        <f ca="1">Demand!W9</f>
        <v>40849.975073137743</v>
      </c>
      <c r="X7" s="22">
        <f ca="1">Demand!X9</f>
        <v>-54415.190274309643</v>
      </c>
      <c r="Y7" s="22">
        <f ca="1">Demand!Y9</f>
        <v>17933.797555331214</v>
      </c>
      <c r="Z7" s="22">
        <f ca="1">Demand!Z9</f>
        <v>-1369.0417399195235</v>
      </c>
      <c r="AA7" s="23">
        <f ca="1">SUM(Demand!O9:Z9)</f>
        <v>76007.962315685087</v>
      </c>
      <c r="AB7" s="22">
        <f ca="1">Demand!AB9</f>
        <v>29556.66150718533</v>
      </c>
      <c r="AC7" s="22">
        <f ca="1">Demand!AC9</f>
        <v>36959.148989349691</v>
      </c>
      <c r="AD7" s="22">
        <f ca="1">Demand!AD9</f>
        <v>17872.487775592355</v>
      </c>
      <c r="AE7" s="22">
        <f ca="1">Demand!AE9</f>
        <v>41621.350089453546</v>
      </c>
      <c r="AF7" s="22">
        <f ca="1">Demand!AF9</f>
        <v>41603.504903390232</v>
      </c>
      <c r="AG7" s="22">
        <f ca="1">Demand!AG9</f>
        <v>-6113.8890584299561</v>
      </c>
      <c r="AH7" s="22">
        <f ca="1">Demand!AH9</f>
        <v>-17985.090536435211</v>
      </c>
      <c r="AI7" s="22">
        <f ca="1">Demand!AI9</f>
        <v>-20040.760775496492</v>
      </c>
      <c r="AJ7" s="22">
        <f ca="1">Demand!AJ9</f>
        <v>33728.612690848844</v>
      </c>
      <c r="AK7" s="22">
        <f ca="1">Demand!AK9</f>
        <v>-34635.938615232546</v>
      </c>
      <c r="AL7" s="22">
        <f ca="1">Demand!AL9</f>
        <v>825.69899329164286</v>
      </c>
      <c r="AM7" s="22">
        <f ca="1">Demand!AM9</f>
        <v>-13765.032505031168</v>
      </c>
      <c r="AN7" s="23">
        <f ca="1">SUM(Demand!AB9:AM9)</f>
        <v>109626.75345848629</v>
      </c>
      <c r="AO7" s="22">
        <f ca="1">Demand!AO9</f>
        <v>-5676.640290265329</v>
      </c>
      <c r="AP7" s="22">
        <f ca="1">Demand!AP9</f>
        <v>845.30661243522616</v>
      </c>
      <c r="AQ7" s="22">
        <f ca="1">Demand!AQ9</f>
        <v>-38560.284601881642</v>
      </c>
      <c r="AR7" s="22">
        <f ca="1">Demand!AR9</f>
        <v>13134.190415385538</v>
      </c>
      <c r="AS7" s="22">
        <f ca="1">Demand!AS9</f>
        <v>-9450.7737579503755</v>
      </c>
      <c r="AT7" s="22">
        <f ca="1">Demand!AT9</f>
        <v>17086.459584205757</v>
      </c>
      <c r="AU7" s="22">
        <f ca="1">Demand!AU9</f>
        <v>21796.136807391838</v>
      </c>
      <c r="AV7" s="22">
        <f ca="1">Demand!AV9</f>
        <v>7095.9176423148438</v>
      </c>
      <c r="AW7" s="22">
        <f ca="1">Demand!AW9</f>
        <v>51362.201619763611</v>
      </c>
      <c r="AX7" s="22">
        <f ca="1">Demand!AX9</f>
        <v>-30184.583978355837</v>
      </c>
      <c r="AY7" s="22">
        <f ca="1">Demand!AY9</f>
        <v>-36043.679996911073</v>
      </c>
      <c r="AZ7" s="22">
        <f ca="1">Demand!AZ9</f>
        <v>48176.805774772736</v>
      </c>
      <c r="BA7" s="23">
        <f ca="1">SUM(Demand!AO9:AZ9)</f>
        <v>39581.055830905301</v>
      </c>
      <c r="BB7" s="22">
        <f ca="1">Demand!BB9</f>
        <v>52146.047903785664</v>
      </c>
      <c r="BC7" s="22">
        <f ca="1">Demand!BC9</f>
        <v>-28408.977031160215</v>
      </c>
      <c r="BD7" s="22">
        <f ca="1">Demand!BD9</f>
        <v>-27682.386647142539</v>
      </c>
      <c r="BE7" s="22">
        <f ca="1">Demand!BE9</f>
        <v>11810.821898601576</v>
      </c>
      <c r="BF7" s="22">
        <f ca="1">Demand!BF9</f>
        <v>-39740.083890397429</v>
      </c>
      <c r="BG7" s="22">
        <f ca="1">Demand!BG9</f>
        <v>-21577.685662827451</v>
      </c>
      <c r="BH7" s="22">
        <f ca="1">Demand!BH9</f>
        <v>-3643.1115406772992</v>
      </c>
      <c r="BI7" s="22">
        <f ca="1">Demand!BI9</f>
        <v>-19678.753907175676</v>
      </c>
      <c r="BJ7" s="22">
        <f ca="1">Demand!BJ9</f>
        <v>48674.297316892982</v>
      </c>
      <c r="BK7" s="22">
        <f ca="1">Demand!BK9</f>
        <v>-29251.375589468946</v>
      </c>
      <c r="BL7" s="22">
        <f ca="1">Demand!BL9</f>
        <v>45920.598281583989</v>
      </c>
      <c r="BM7" s="22">
        <f ca="1">Demand!BM9</f>
        <v>-49787.755369045066</v>
      </c>
      <c r="BN7" s="23">
        <f ca="1">SUM(Demand!BB9:BM9)</f>
        <v>-61218.364237030415</v>
      </c>
      <c r="BO7" s="22">
        <f ca="1">Demand!BO9</f>
        <v>33126.923203704566</v>
      </c>
      <c r="BP7" s="22">
        <f ca="1">Demand!BP9</f>
        <v>49040.906726178357</v>
      </c>
      <c r="BQ7" s="22">
        <f ca="1">Demand!BQ9</f>
        <v>-7051.969965618905</v>
      </c>
      <c r="BR7" s="22">
        <f ca="1">Demand!BR9</f>
        <v>-29225.725344468457</v>
      </c>
      <c r="BS7" s="22">
        <f ca="1">Demand!BS9</f>
        <v>60970.16471460303</v>
      </c>
      <c r="BT7" s="22">
        <f ca="1">Demand!BT9</f>
        <v>-30227.29470864949</v>
      </c>
      <c r="BU7" s="22">
        <f ca="1">Demand!BU9</f>
        <v>36135.512644941307</v>
      </c>
      <c r="BV7" s="22">
        <f ca="1">Demand!BV9</f>
        <v>20060.096488660649</v>
      </c>
      <c r="BW7" s="22">
        <f ca="1">Demand!BW9</f>
        <v>44958.843424549246</v>
      </c>
      <c r="BX7" s="22">
        <f ca="1">Demand!BX9</f>
        <v>-9020.2640439484949</v>
      </c>
      <c r="BY7" s="22">
        <f ca="1">Demand!BY9</f>
        <v>-39113.495286012156</v>
      </c>
      <c r="BZ7" s="22">
        <f ca="1">Demand!BZ9</f>
        <v>6664.4925382067395</v>
      </c>
      <c r="CA7" s="23">
        <f ca="1">SUM(Demand!BO9:BZ9)</f>
        <v>136318.19039214638</v>
      </c>
      <c r="CB7" s="22">
        <f ca="1">Demand!CB9</f>
        <v>-14389.914100225313</v>
      </c>
      <c r="CC7" s="22">
        <f ca="1">Demand!CC9</f>
        <v>-16094.265883114011</v>
      </c>
      <c r="CD7" s="22">
        <f ca="1">Demand!CD9</f>
        <v>-14423.062562625384</v>
      </c>
      <c r="CE7" s="22">
        <f ca="1">Demand!CE9</f>
        <v>-8024.1306599295804</v>
      </c>
      <c r="CF7" s="22">
        <f ca="1">Demand!CF9</f>
        <v>25477.477405479378</v>
      </c>
      <c r="CG7" s="22">
        <f ca="1">Demand!CG9</f>
        <v>-19788.953741769386</v>
      </c>
      <c r="CH7" s="22">
        <f ca="1">Demand!CH9</f>
        <v>-30510.759415630404</v>
      </c>
      <c r="CI7" s="22">
        <f ca="1">Demand!CI9</f>
        <v>-33138.795948513958</v>
      </c>
      <c r="CJ7" s="22">
        <f ca="1">Demand!CJ9</f>
        <v>-3673.9985260130766</v>
      </c>
      <c r="CK7" s="22">
        <f ca="1">Demand!CK9</f>
        <v>-35878.17059298043</v>
      </c>
      <c r="CL7" s="22">
        <f ca="1">Demand!CL9</f>
        <v>27564.477528791602</v>
      </c>
      <c r="CM7" s="22">
        <f ca="1">Demand!CM9</f>
        <v>14354.300284832669</v>
      </c>
      <c r="CN7" s="23">
        <f ca="1">SUM(Demand!CB9:CM9)</f>
        <v>-108525.79621169789</v>
      </c>
      <c r="CO7" s="22">
        <f ca="1">Demand!CO9</f>
        <v>-42974.770863121492</v>
      </c>
      <c r="CP7" s="22">
        <f ca="1">Demand!CP9</f>
        <v>-47729.293046534331</v>
      </c>
      <c r="CQ7" s="22">
        <f ca="1">Demand!CQ9</f>
        <v>-27796.884048954038</v>
      </c>
      <c r="CR7" s="22">
        <f ca="1">Demand!CR9</f>
        <v>-15859.235352445883</v>
      </c>
      <c r="CS7" s="22">
        <f ca="1">Demand!CS9</f>
        <v>-20016.374724258436</v>
      </c>
      <c r="CT7" s="22">
        <f ca="1">Demand!CT9</f>
        <v>-3396.3953580334473</v>
      </c>
      <c r="CU7" s="22">
        <f ca="1">Demand!CU9</f>
        <v>28117.810538524049</v>
      </c>
      <c r="CV7" s="22">
        <f ca="1">Demand!CV9</f>
        <v>16328.877790980996</v>
      </c>
      <c r="CW7" s="22">
        <f ca="1">Demand!CW9</f>
        <v>21282.295708061731</v>
      </c>
      <c r="CX7" s="22">
        <f ca="1">Demand!CX9</f>
        <v>-16508.761238778003</v>
      </c>
      <c r="CY7" s="22">
        <f ca="1">Demand!CY9</f>
        <v>218.99348202490515</v>
      </c>
      <c r="CZ7" s="22">
        <f ca="1">Demand!CZ9</f>
        <v>34787.473779844324</v>
      </c>
      <c r="DA7" s="23">
        <f ca="1">SUM(Demand!CO9:CZ9)</f>
        <v>-73546.263332689618</v>
      </c>
      <c r="DB7" s="22">
        <f ca="1">Demand!DB9</f>
        <v>13817.269586275812</v>
      </c>
      <c r="DC7" s="22">
        <f ca="1">Demand!DC9</f>
        <v>12192.820830393332</v>
      </c>
      <c r="DD7" s="22">
        <f ca="1">Demand!DD9</f>
        <v>-50596.224566777055</v>
      </c>
      <c r="DE7" s="22">
        <f ca="1">Demand!DE9</f>
        <v>-45433.512458218735</v>
      </c>
      <c r="DF7" s="22">
        <f ca="1">Demand!DF9</f>
        <v>-14223.361221974963</v>
      </c>
      <c r="DG7" s="22">
        <f ca="1">Demand!DG9</f>
        <v>8722.7513017940237</v>
      </c>
      <c r="DH7" s="22">
        <f ca="1">Demand!DH9</f>
        <v>-32069.195000387659</v>
      </c>
      <c r="DI7" s="22">
        <f ca="1">Demand!DI9</f>
        <v>-30693.247473608026</v>
      </c>
      <c r="DJ7" s="22">
        <f ca="1">Demand!DJ9</f>
        <v>8142.4708637722861</v>
      </c>
      <c r="DK7" s="22">
        <f ca="1">Demand!DK9</f>
        <v>5298.4944412674795</v>
      </c>
      <c r="DL7" s="22">
        <f ca="1">Demand!DL9</f>
        <v>24173.609074881027</v>
      </c>
      <c r="DM7" s="22">
        <f ca="1">Demand!DM9</f>
        <v>-61534.362158433272</v>
      </c>
      <c r="DN7" s="23">
        <f ca="1">SUM(Demand!DB9:DM9)</f>
        <v>-162202.48678101576</v>
      </c>
      <c r="DO7" s="22">
        <f ca="1">Demand!DO9</f>
        <v>14229.025794946978</v>
      </c>
      <c r="DP7" s="22">
        <f ca="1">Demand!DP9</f>
        <v>-20946.457470556354</v>
      </c>
      <c r="DQ7" s="22">
        <f ca="1">Demand!DQ9</f>
        <v>-35852.172303975909</v>
      </c>
      <c r="DR7" s="22">
        <f ca="1">Demand!DR9</f>
        <v>25632.31974284663</v>
      </c>
      <c r="DS7" s="22">
        <f ca="1">Demand!DS9</f>
        <v>-3762.8971449306282</v>
      </c>
      <c r="DT7" s="22">
        <f ca="1">Demand!DT9</f>
        <v>-41941.541576427291</v>
      </c>
      <c r="DU7" s="22">
        <f ca="1">Demand!DU9</f>
        <v>41485.26358422076</v>
      </c>
      <c r="DV7" s="22">
        <f ca="1">Demand!DV9</f>
        <v>16864.635318556942</v>
      </c>
      <c r="DW7" s="22">
        <f ca="1">Demand!DW9</f>
        <v>-44435.326470381289</v>
      </c>
      <c r="DX7" s="22">
        <f ca="1">Demand!DX9</f>
        <v>13239.858402801014</v>
      </c>
      <c r="DY7" s="22">
        <f ca="1">Demand!DY9</f>
        <v>5002.7187375638059</v>
      </c>
      <c r="DZ7" s="22">
        <f ca="1">Demand!DZ9</f>
        <v>34264.202988932258</v>
      </c>
      <c r="EA7" s="23">
        <f ca="1">SUM(Demand!DO9:DZ9)</f>
        <v>3779.6296035969244</v>
      </c>
      <c r="EB7" s="22">
        <f ca="1">Demand!EB9</f>
        <v>-46404.331826602574</v>
      </c>
      <c r="EC7" s="22">
        <f ca="1">Demand!EC9</f>
        <v>-42246.746691894121</v>
      </c>
      <c r="ED7" s="22">
        <f ca="1">Demand!ED9</f>
        <v>11985.561709471223</v>
      </c>
      <c r="EE7" s="22">
        <f ca="1">Demand!EE9</f>
        <v>-38677.492215604827</v>
      </c>
      <c r="EF7" s="22">
        <f ca="1">Demand!EF9</f>
        <v>42649.012729360657</v>
      </c>
      <c r="EG7" s="22">
        <f ca="1">Demand!EG9</f>
        <v>-16580.991980793762</v>
      </c>
      <c r="EH7" s="22">
        <f ca="1">Demand!EH9</f>
        <v>-57462.244828764371</v>
      </c>
      <c r="EI7" s="22">
        <f ca="1">Demand!EI9</f>
        <v>10309.901335996637</v>
      </c>
      <c r="EJ7" s="22">
        <f ca="1">Demand!EJ9</f>
        <v>-55889.032547157323</v>
      </c>
      <c r="EK7" s="22">
        <f ca="1">Demand!EK9</f>
        <v>33895.299945445055</v>
      </c>
      <c r="EL7" s="22">
        <f ca="1">Demand!EL9</f>
        <v>-13740.707300400174</v>
      </c>
      <c r="EM7" s="22">
        <f ca="1">Demand!EM9</f>
        <v>-39442.040223787051</v>
      </c>
      <c r="EN7" s="23">
        <f ca="1">SUM(Demand!EB9:EM9)</f>
        <v>-211603.81189473064</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9" t="str">
        <f>Labels!B46</f>
        <v>Output Shock</v>
      </c>
      <c r="B9" s="27">
        <f ca="1">Output!B11</f>
        <v>24591.999880926771</v>
      </c>
      <c r="C9" s="27">
        <f ca="1">Output!C11</f>
        <v>12514.315032151633</v>
      </c>
      <c r="D9" s="27">
        <f ca="1">Output!D11</f>
        <v>32069.906002850956</v>
      </c>
      <c r="E9" s="27">
        <f ca="1">Output!E11</f>
        <v>-13364.229216116632</v>
      </c>
      <c r="F9" s="27">
        <f ca="1">Output!F11</f>
        <v>51840.599347114563</v>
      </c>
      <c r="G9" s="27">
        <f ca="1">Output!G11</f>
        <v>27284.144262387308</v>
      </c>
      <c r="H9" s="27">
        <f ca="1">Output!H11</f>
        <v>53603.975618563796</v>
      </c>
      <c r="I9" s="27">
        <f ca="1">Output!I11</f>
        <v>-14938.488125599037</v>
      </c>
      <c r="J9" s="27">
        <f ca="1">Output!J11</f>
        <v>15598.799918561177</v>
      </c>
      <c r="K9" s="27">
        <f ca="1">Output!K11</f>
        <v>21449.99806680136</v>
      </c>
      <c r="L9" s="27">
        <f ca="1">Output!L11</f>
        <v>-1065.7126626746324</v>
      </c>
      <c r="M9" s="27">
        <f ca="1">Output!M11</f>
        <v>-32376.294999766127</v>
      </c>
      <c r="N9" s="28">
        <f ca="1">SUM(Output!B11:M11)</f>
        <v>177209.01312520111</v>
      </c>
      <c r="O9" s="27">
        <f ca="1">Output!O11</f>
        <v>-3966.3480513659783</v>
      </c>
      <c r="P9" s="27">
        <f ca="1">Output!P11</f>
        <v>-33361.181614165987</v>
      </c>
      <c r="Q9" s="27">
        <f ca="1">Output!Q11</f>
        <v>-9557.6285737310573</v>
      </c>
      <c r="R9" s="27">
        <f ca="1">Output!R11</f>
        <v>-107.66669061920149</v>
      </c>
      <c r="S9" s="27">
        <f ca="1">Output!S11</f>
        <v>23258.10369716031</v>
      </c>
      <c r="T9" s="27">
        <f ca="1">Output!T11</f>
        <v>-24709.730363432984</v>
      </c>
      <c r="U9" s="27">
        <f ca="1">Output!U11</f>
        <v>10993.600348151696</v>
      </c>
      <c r="V9" s="27">
        <f ca="1">Output!V11</f>
        <v>16120.742855991668</v>
      </c>
      <c r="W9" s="27">
        <f ca="1">Output!W11</f>
        <v>-18849.85071479981</v>
      </c>
      <c r="X9" s="27">
        <f ca="1">Output!X11</f>
        <v>-12972.130079205916</v>
      </c>
      <c r="Y9" s="27">
        <f ca="1">Output!Y11</f>
        <v>-16191.616546344987</v>
      </c>
      <c r="Z9" s="27">
        <f ca="1">Output!Z11</f>
        <v>-6131.4754572864713</v>
      </c>
      <c r="AA9" s="28">
        <f ca="1">SUM(Output!O11:Z11)</f>
        <v>-75475.181189648734</v>
      </c>
      <c r="AB9" s="27">
        <f ca="1">Output!AB11</f>
        <v>-28161.532036380886</v>
      </c>
      <c r="AC9" s="27">
        <f ca="1">Output!AC11</f>
        <v>21396.681476753241</v>
      </c>
      <c r="AD9" s="27">
        <f ca="1">Output!AD11</f>
        <v>60612.720368641523</v>
      </c>
      <c r="AE9" s="27">
        <f ca="1">Output!AE11</f>
        <v>-6253.8956784103493</v>
      </c>
      <c r="AF9" s="27">
        <f ca="1">Output!AF11</f>
        <v>-38101.852788318683</v>
      </c>
      <c r="AG9" s="27">
        <f ca="1">Output!AG11</f>
        <v>-34546.74703650429</v>
      </c>
      <c r="AH9" s="27">
        <f ca="1">Output!AH11</f>
        <v>20424.316536953185</v>
      </c>
      <c r="AI9" s="27">
        <f ca="1">Output!AI11</f>
        <v>-28497.175781118665</v>
      </c>
      <c r="AJ9" s="27">
        <f ca="1">Output!AJ11</f>
        <v>-56832.195278862389</v>
      </c>
      <c r="AK9" s="27">
        <f ca="1">Output!AK11</f>
        <v>29754.267020922867</v>
      </c>
      <c r="AL9" s="27">
        <f ca="1">Output!AL11</f>
        <v>16017.922566569037</v>
      </c>
      <c r="AM9" s="27">
        <f ca="1">Output!AM11</f>
        <v>12480.03854022588</v>
      </c>
      <c r="AN9" s="28">
        <f ca="1">SUM(Output!AB11:AM11)</f>
        <v>-31707.452089529525</v>
      </c>
      <c r="AO9" s="27">
        <f ca="1">Output!AO11</f>
        <v>8925.8887433405998</v>
      </c>
      <c r="AP9" s="27">
        <f ca="1">Output!AP11</f>
        <v>39709.517782778916</v>
      </c>
      <c r="AQ9" s="27">
        <f ca="1">Output!AQ11</f>
        <v>10917.781155212624</v>
      </c>
      <c r="AR9" s="27">
        <f ca="1">Output!AR11</f>
        <v>-25784.729940735429</v>
      </c>
      <c r="AS9" s="27">
        <f ca="1">Output!AS11</f>
        <v>-13893.015342397541</v>
      </c>
      <c r="AT9" s="27">
        <f ca="1">Output!AT11</f>
        <v>47558.925245474536</v>
      </c>
      <c r="AU9" s="27">
        <f ca="1">Output!AU11</f>
        <v>-13395.407294617955</v>
      </c>
      <c r="AV9" s="27">
        <f ca="1">Output!AV11</f>
        <v>-38130.271347672613</v>
      </c>
      <c r="AW9" s="27">
        <f ca="1">Output!AW11</f>
        <v>-48480.063051508805</v>
      </c>
      <c r="AX9" s="27">
        <f ca="1">Output!AX11</f>
        <v>27899.788419462348</v>
      </c>
      <c r="AY9" s="27">
        <f ca="1">Output!AY11</f>
        <v>-8881.5261385775611</v>
      </c>
      <c r="AZ9" s="27">
        <f ca="1">Output!AZ11</f>
        <v>-2915.9373322964052</v>
      </c>
      <c r="BA9" s="28">
        <f ca="1">SUM(Output!AO11:AZ11)</f>
        <v>-16469.049101537286</v>
      </c>
      <c r="BB9" s="27">
        <f ca="1">Output!BB11</f>
        <v>-1964.8641130811234</v>
      </c>
      <c r="BC9" s="27">
        <f ca="1">Output!BC11</f>
        <v>13525.095528238544</v>
      </c>
      <c r="BD9" s="27">
        <f ca="1">Output!BD11</f>
        <v>25674.212704831876</v>
      </c>
      <c r="BE9" s="27">
        <f ca="1">Output!BE11</f>
        <v>-8626.2473574603719</v>
      </c>
      <c r="BF9" s="27">
        <f ca="1">Output!BF11</f>
        <v>50880.792853571555</v>
      </c>
      <c r="BG9" s="27">
        <f ca="1">Output!BG11</f>
        <v>-17291.536062050283</v>
      </c>
      <c r="BH9" s="27">
        <f ca="1">Output!BH11</f>
        <v>-15033.404133757429</v>
      </c>
      <c r="BI9" s="27">
        <f ca="1">Output!BI11</f>
        <v>-30334.124915369746</v>
      </c>
      <c r="BJ9" s="27">
        <f ca="1">Output!BJ11</f>
        <v>-15940.090014315498</v>
      </c>
      <c r="BK9" s="27">
        <f ca="1">Output!BK11</f>
        <v>20321.821588343682</v>
      </c>
      <c r="BL9" s="27">
        <f ca="1">Output!BL11</f>
        <v>29207.209104404996</v>
      </c>
      <c r="BM9" s="27">
        <f ca="1">Output!BM11</f>
        <v>825.64831069313743</v>
      </c>
      <c r="BN9" s="28">
        <f ca="1">SUM(Output!BB11:BM11)</f>
        <v>51244.51349404933</v>
      </c>
      <c r="BO9" s="27">
        <f ca="1">Output!BO11</f>
        <v>-6419.794488429</v>
      </c>
      <c r="BP9" s="27">
        <f ca="1">Output!BP11</f>
        <v>-33695.499618944094</v>
      </c>
      <c r="BQ9" s="27">
        <f ca="1">Output!BQ11</f>
        <v>8240.3683110619004</v>
      </c>
      <c r="BR9" s="27">
        <f ca="1">Output!BR11</f>
        <v>-35630.451493605287</v>
      </c>
      <c r="BS9" s="27">
        <f ca="1">Output!BS11</f>
        <v>40189.585336330369</v>
      </c>
      <c r="BT9" s="27">
        <f ca="1">Output!BT11</f>
        <v>-5287.2521688278193</v>
      </c>
      <c r="BU9" s="27">
        <f ca="1">Output!BU11</f>
        <v>-19769.114924194957</v>
      </c>
      <c r="BV9" s="27">
        <f ca="1">Output!BV11</f>
        <v>-12939.215010391643</v>
      </c>
      <c r="BW9" s="27">
        <f ca="1">Output!BW11</f>
        <v>10975.898284685425</v>
      </c>
      <c r="BX9" s="27">
        <f ca="1">Output!BX11</f>
        <v>-9432.8849934689279</v>
      </c>
      <c r="BY9" s="27">
        <f ca="1">Output!BY11</f>
        <v>56229.169478186428</v>
      </c>
      <c r="BZ9" s="27">
        <f ca="1">Output!BZ11</f>
        <v>48316.746438212649</v>
      </c>
      <c r="CA9" s="28">
        <f ca="1">SUM(Output!BO11:BZ11)</f>
        <v>40777.555150615051</v>
      </c>
      <c r="CB9" s="27">
        <f ca="1">Output!CB11</f>
        <v>-32326.044721645314</v>
      </c>
      <c r="CC9" s="27">
        <f ca="1">Output!CC11</f>
        <v>12697.853985293366</v>
      </c>
      <c r="CD9" s="27">
        <f ca="1">Output!CD11</f>
        <v>8231.1447548358574</v>
      </c>
      <c r="CE9" s="27">
        <f ca="1">Output!CE11</f>
        <v>33277.689737836343</v>
      </c>
      <c r="CF9" s="27">
        <f ca="1">Output!CF11</f>
        <v>16974.929352924184</v>
      </c>
      <c r="CG9" s="27">
        <f ca="1">Output!CG11</f>
        <v>-8597.4812206215374</v>
      </c>
      <c r="CH9" s="27">
        <f ca="1">Output!CH11</f>
        <v>-32528.417869420671</v>
      </c>
      <c r="CI9" s="27">
        <f ca="1">Output!CI11</f>
        <v>-35466.364469229178</v>
      </c>
      <c r="CJ9" s="27">
        <f ca="1">Output!CJ11</f>
        <v>-1515.5539663360039</v>
      </c>
      <c r="CK9" s="27">
        <f ca="1">Output!CK11</f>
        <v>33269.546432312141</v>
      </c>
      <c r="CL9" s="27">
        <f ca="1">Output!CL11</f>
        <v>12826.401733974933</v>
      </c>
      <c r="CM9" s="27">
        <f ca="1">Output!CM11</f>
        <v>54916.965193614444</v>
      </c>
      <c r="CN9" s="28">
        <f ca="1">SUM(Output!CB11:CM11)</f>
        <v>61760.668943538563</v>
      </c>
      <c r="CO9" s="27">
        <f ca="1">Output!CO11</f>
        <v>-30145.104180674771</v>
      </c>
      <c r="CP9" s="27">
        <f ca="1">Output!CP11</f>
        <v>-43744.390999823539</v>
      </c>
      <c r="CQ9" s="27">
        <f ca="1">Output!CQ11</f>
        <v>17651.844423108676</v>
      </c>
      <c r="CR9" s="27">
        <f ca="1">Output!CR11</f>
        <v>29849.370123469653</v>
      </c>
      <c r="CS9" s="27">
        <f ca="1">Output!CS11</f>
        <v>10770.794289945163</v>
      </c>
      <c r="CT9" s="27">
        <f ca="1">Output!CT11</f>
        <v>23895.748786733642</v>
      </c>
      <c r="CU9" s="27">
        <f ca="1">Output!CU11</f>
        <v>-35504.96474353307</v>
      </c>
      <c r="CV9" s="27">
        <f ca="1">Output!CV11</f>
        <v>-55269.929810455731</v>
      </c>
      <c r="CW9" s="27">
        <f ca="1">Output!CW11</f>
        <v>-38460.768541409881</v>
      </c>
      <c r="CX9" s="27">
        <f ca="1">Output!CX11</f>
        <v>-32076.75897942976</v>
      </c>
      <c r="CY9" s="27">
        <f ca="1">Output!CY11</f>
        <v>-13750.461052542081</v>
      </c>
      <c r="CZ9" s="27">
        <f ca="1">Output!CZ11</f>
        <v>-12443.343577687439</v>
      </c>
      <c r="DA9" s="28">
        <f ca="1">SUM(Output!CO11:CZ11)</f>
        <v>-179227.96426229912</v>
      </c>
      <c r="DB9" s="27">
        <f ca="1">Output!DB11</f>
        <v>23687.915370351169</v>
      </c>
      <c r="DC9" s="27">
        <f ca="1">Output!DC11</f>
        <v>5907.5249583355717</v>
      </c>
      <c r="DD9" s="27">
        <f ca="1">Output!DD11</f>
        <v>-13717.744579647377</v>
      </c>
      <c r="DE9" s="27">
        <f ca="1">Output!DE11</f>
        <v>9007.6888220462315</v>
      </c>
      <c r="DF9" s="27">
        <f ca="1">Output!DF11</f>
        <v>-36642.316322465653</v>
      </c>
      <c r="DG9" s="27">
        <f ca="1">Output!DG11</f>
        <v>5207.027315677291</v>
      </c>
      <c r="DH9" s="27">
        <f ca="1">Output!DH11</f>
        <v>-781.75584419247252</v>
      </c>
      <c r="DI9" s="27">
        <f ca="1">Output!DI11</f>
        <v>-52040.767367214416</v>
      </c>
      <c r="DJ9" s="27">
        <f ca="1">Output!DJ11</f>
        <v>-3473.851871948983</v>
      </c>
      <c r="DK9" s="27">
        <f ca="1">Output!DK11</f>
        <v>26154.472735227908</v>
      </c>
      <c r="DL9" s="27">
        <f ca="1">Output!DL11</f>
        <v>38406.349736211705</v>
      </c>
      <c r="DM9" s="27">
        <f ca="1">Output!DM11</f>
        <v>2199.7002679594198</v>
      </c>
      <c r="DN9" s="28">
        <f ca="1">SUM(Output!DB11:DM11)</f>
        <v>3914.2432203403996</v>
      </c>
      <c r="DO9" s="27">
        <f ca="1">Output!DO11</f>
        <v>-3898.9935508486583</v>
      </c>
      <c r="DP9" s="27">
        <f ca="1">Output!DP11</f>
        <v>13789.792106495119</v>
      </c>
      <c r="DQ9" s="27">
        <f ca="1">Output!DQ11</f>
        <v>-44119.485458610623</v>
      </c>
      <c r="DR9" s="27">
        <f ca="1">Output!DR11</f>
        <v>-26317.351640914574</v>
      </c>
      <c r="DS9" s="27">
        <f ca="1">Output!DS11</f>
        <v>10578.737134422936</v>
      </c>
      <c r="DT9" s="27">
        <f ca="1">Output!DT11</f>
        <v>4867.4027502986037</v>
      </c>
      <c r="DU9" s="27">
        <f ca="1">Output!DU11</f>
        <v>-57171.922281059771</v>
      </c>
      <c r="DV9" s="27">
        <f ca="1">Output!DV11</f>
        <v>27539.068914514359</v>
      </c>
      <c r="DW9" s="27">
        <f ca="1">Output!DW11</f>
        <v>-8640.4158754406253</v>
      </c>
      <c r="DX9" s="27">
        <f ca="1">Output!DX11</f>
        <v>-49165.357764183194</v>
      </c>
      <c r="DY9" s="27">
        <f ca="1">Output!DY11</f>
        <v>52653.983134472415</v>
      </c>
      <c r="DZ9" s="27">
        <f ca="1">Output!DZ11</f>
        <v>11147.869866288724</v>
      </c>
      <c r="EA9" s="28">
        <f ca="1">SUM(Output!DO11:DZ11)</f>
        <v>-68736.672664565311</v>
      </c>
      <c r="EB9" s="27">
        <f ca="1">Output!EB11</f>
        <v>12379.588391225767</v>
      </c>
      <c r="EC9" s="27">
        <f ca="1">Output!EC11</f>
        <v>15632.598003415344</v>
      </c>
      <c r="ED9" s="27">
        <f ca="1">Output!ED11</f>
        <v>-25422.061139796955</v>
      </c>
      <c r="EE9" s="27">
        <f ca="1">Output!EE11</f>
        <v>-37000.622879355527</v>
      </c>
      <c r="EF9" s="27">
        <f ca="1">Output!EF11</f>
        <v>29404.691057273682</v>
      </c>
      <c r="EG9" s="27">
        <f ca="1">Output!EG11</f>
        <v>1431.1358162764129</v>
      </c>
      <c r="EH9" s="27">
        <f ca="1">Output!EH11</f>
        <v>13695.680593074889</v>
      </c>
      <c r="EI9" s="27">
        <f ca="1">Output!EI11</f>
        <v>41777.798311049119</v>
      </c>
      <c r="EJ9" s="27">
        <f ca="1">Output!EJ11</f>
        <v>-29194.549257490507</v>
      </c>
      <c r="EK9" s="27">
        <f ca="1">Output!EK11</f>
        <v>-618.67456235608768</v>
      </c>
      <c r="EL9" s="27">
        <f ca="1">Output!EL11</f>
        <v>36413.066825128975</v>
      </c>
      <c r="EM9" s="27">
        <f ca="1">Output!EM11</f>
        <v>33804.43072755757</v>
      </c>
      <c r="EN9" s="28">
        <f ca="1">SUM(Output!EB11:EM11)</f>
        <v>92303.081886002677</v>
      </c>
    </row>
    <row r="11" spans="1:144" ht="12.75" customHeight="1" x14ac:dyDescent="0.2">
      <c r="A11" s="7" t="str">
        <f>Labels!B47</f>
        <v>Shock_Std_Dev</v>
      </c>
      <c r="B11" s="23">
        <f>Inputs!B57*SQRT('(Other Computations)'!B8)*Output!B13</f>
        <v>33678.765702728168</v>
      </c>
    </row>
    <row r="12" spans="1:144" ht="12.75" customHeight="1" x14ac:dyDescent="0.2">
      <c r="A12" s="9" t="str">
        <f>Labels!B48</f>
        <v>Shock Std Deviation %</v>
      </c>
      <c r="B12" s="37">
        <f>Inputs!B57</f>
        <v>0.1</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101"/>
  <sheetViews>
    <sheetView workbookViewId="0"/>
  </sheetViews>
  <sheetFormatPr defaultRowHeight="12.75" customHeight="1" x14ac:dyDescent="0.2"/>
  <cols>
    <col min="1" max="1" width="25.42578125" customWidth="1"/>
    <col min="2" max="2" width="24.42578125" customWidth="1"/>
    <col min="3" max="3" width="14.85546875" customWidth="1"/>
    <col min="4" max="4" width="5.85546875" customWidth="1"/>
    <col min="5" max="5" width="105.85546875" customWidth="1"/>
  </cols>
  <sheetData>
    <row r="1" spans="1:5" ht="12.75" customHeight="1" x14ac:dyDescent="0.2">
      <c r="A1" s="112" t="str">
        <f>"Equilibrium Economy with Shocks"</f>
        <v>Equilibrium Economy with Shocks</v>
      </c>
      <c r="B1" s="112"/>
      <c r="C1" s="112"/>
    </row>
    <row r="2" spans="1:5" ht="12.75" customHeight="1" x14ac:dyDescent="0.2">
      <c r="A2" s="112" t="str">
        <f>"Model: "&amp;Inputs!B8</f>
        <v>Model: Test Model</v>
      </c>
      <c r="B2" s="112"/>
      <c r="C2" s="112"/>
    </row>
    <row r="3" spans="1:5" ht="12.75" customHeight="1" x14ac:dyDescent="0.2">
      <c r="A3" s="112" t="str">
        <f>"$ millions"</f>
        <v>$ millions</v>
      </c>
      <c r="B3" s="112"/>
      <c r="C3" s="112"/>
    </row>
    <row r="4" spans="1:5" ht="12.75" customHeight="1" x14ac:dyDescent="0.2">
      <c r="A4" s="112" t="str">
        <f>"Formulas"</f>
        <v>Formulas</v>
      </c>
      <c r="B4" s="112"/>
      <c r="C4" s="112"/>
    </row>
    <row r="5" spans="1:5" ht="12.75" customHeight="1" x14ac:dyDescent="0.2">
      <c r="A5" s="112" t="str">
        <f>""</f>
        <v/>
      </c>
      <c r="B5" s="112"/>
      <c r="C5" s="112"/>
    </row>
    <row r="6" spans="1:5" ht="12.75" customHeight="1" x14ac:dyDescent="0.2">
      <c r="A6" s="38" t="s">
        <v>314</v>
      </c>
      <c r="B6" s="38" t="s">
        <v>280</v>
      </c>
      <c r="C6" s="38" t="s">
        <v>307</v>
      </c>
      <c r="D6" s="38"/>
      <c r="E6" s="38" t="s">
        <v>257</v>
      </c>
    </row>
    <row r="7" spans="1:5" ht="12.75" customHeight="1" x14ac:dyDescent="0.2">
      <c r="A7" s="39" t="s">
        <v>183</v>
      </c>
      <c r="B7" s="39" t="str">
        <f>Labels!B9</f>
        <v>Capital</v>
      </c>
      <c r="C7" s="40" t="s">
        <v>282</v>
      </c>
      <c r="D7" s="41" t="s">
        <v>285</v>
      </c>
      <c r="E7" s="42" t="s">
        <v>126</v>
      </c>
    </row>
    <row r="8" spans="1:5" ht="12.75" customHeight="1" x14ac:dyDescent="0.2">
      <c r="A8" s="24"/>
      <c r="B8" s="24"/>
      <c r="C8" s="43"/>
      <c r="D8" s="44"/>
      <c r="E8" s="45"/>
    </row>
    <row r="9" spans="1:5" ht="12.75" customHeight="1" x14ac:dyDescent="0.2">
      <c r="A9" s="39" t="s">
        <v>21</v>
      </c>
      <c r="B9" s="39" t="str">
        <f>Labels!B10</f>
        <v>Avg Life Capital</v>
      </c>
      <c r="C9" s="40"/>
      <c r="D9" s="41"/>
      <c r="E9" s="42"/>
    </row>
    <row r="10" spans="1:5" ht="12.75" customHeight="1" x14ac:dyDescent="0.2">
      <c r="A10" s="24"/>
      <c r="B10" s="24"/>
      <c r="C10" s="43"/>
      <c r="D10" s="44"/>
      <c r="E10" s="45"/>
    </row>
    <row r="11" spans="1:5" ht="12.75" customHeight="1" x14ac:dyDescent="0.2">
      <c r="A11" s="39" t="s">
        <v>260</v>
      </c>
      <c r="B11" s="39" t="str">
        <f>Labels!B11</f>
        <v>Capital Depreciation</v>
      </c>
      <c r="C11" s="40" t="s">
        <v>282</v>
      </c>
      <c r="D11" s="41" t="s">
        <v>285</v>
      </c>
      <c r="E11" s="42" t="s">
        <v>45</v>
      </c>
    </row>
    <row r="12" spans="1:5" ht="12.75" customHeight="1" x14ac:dyDescent="0.2">
      <c r="A12" s="24"/>
      <c r="B12" s="24"/>
      <c r="C12" s="43"/>
      <c r="D12" s="44"/>
      <c r="E12" s="45"/>
    </row>
    <row r="13" spans="1:5" ht="12.75" customHeight="1" x14ac:dyDescent="0.2">
      <c r="A13" s="39" t="s">
        <v>85</v>
      </c>
      <c r="B13" s="39" t="str">
        <f>Labels!B12</f>
        <v>Desired Capital</v>
      </c>
      <c r="C13" s="40" t="s">
        <v>282</v>
      </c>
      <c r="D13" s="41" t="s">
        <v>285</v>
      </c>
      <c r="E13" s="42" t="s">
        <v>107</v>
      </c>
    </row>
    <row r="14" spans="1:5" ht="12.75" customHeight="1" x14ac:dyDescent="0.2">
      <c r="A14" s="24"/>
      <c r="B14" s="24"/>
      <c r="C14" s="43"/>
      <c r="D14" s="44"/>
      <c r="E14" s="45"/>
    </row>
    <row r="15" spans="1:5" ht="12.75" customHeight="1" x14ac:dyDescent="0.2">
      <c r="A15" s="39" t="s">
        <v>316</v>
      </c>
      <c r="B15" s="39" t="str">
        <f>Labels!B13</f>
        <v>Equilib Capital</v>
      </c>
      <c r="C15" s="40" t="s">
        <v>282</v>
      </c>
      <c r="D15" s="41" t="s">
        <v>285</v>
      </c>
      <c r="E15" s="42" t="s">
        <v>167</v>
      </c>
    </row>
    <row r="16" spans="1:5" ht="12.75" customHeight="1" x14ac:dyDescent="0.2">
      <c r="A16" s="24"/>
      <c r="B16" s="24"/>
      <c r="C16" s="43"/>
      <c r="D16" s="44"/>
      <c r="E16" s="45"/>
    </row>
    <row r="17" spans="1:5" ht="12.75" customHeight="1" x14ac:dyDescent="0.2">
      <c r="A17" s="39" t="s">
        <v>163</v>
      </c>
      <c r="B17" s="39" t="str">
        <f>Labels!B14</f>
        <v>Capital Exponent</v>
      </c>
      <c r="C17" s="40"/>
      <c r="D17" s="41"/>
      <c r="E17" s="42"/>
    </row>
    <row r="18" spans="1:5" ht="12.75" customHeight="1" x14ac:dyDescent="0.2">
      <c r="A18" s="24"/>
      <c r="B18" s="24"/>
      <c r="C18" s="43"/>
      <c r="D18" s="44"/>
      <c r="E18" s="45"/>
    </row>
    <row r="19" spans="1:5" ht="12.75" customHeight="1" x14ac:dyDescent="0.2">
      <c r="A19" s="39" t="s">
        <v>19</v>
      </c>
      <c r="B19" s="39" t="str">
        <f>Labels!B15</f>
        <v>Capital Investment</v>
      </c>
      <c r="C19" s="40" t="s">
        <v>282</v>
      </c>
      <c r="D19" s="41" t="s">
        <v>285</v>
      </c>
      <c r="E19" s="42" t="s">
        <v>322</v>
      </c>
    </row>
    <row r="20" spans="1:5" ht="12.75" customHeight="1" x14ac:dyDescent="0.2">
      <c r="A20" s="24"/>
      <c r="B20" s="24"/>
      <c r="C20" s="43"/>
      <c r="D20" s="44"/>
      <c r="E20" s="45"/>
    </row>
    <row r="21" spans="1:5" ht="12.75" customHeight="1" x14ac:dyDescent="0.2">
      <c r="A21" s="39" t="s">
        <v>233</v>
      </c>
      <c r="B21" s="39" t="str">
        <f>Labels!B16</f>
        <v>Consumption</v>
      </c>
      <c r="C21" s="40" t="s">
        <v>282</v>
      </c>
      <c r="D21" s="41" t="s">
        <v>285</v>
      </c>
      <c r="E21" s="42" t="s">
        <v>143</v>
      </c>
    </row>
    <row r="22" spans="1:5" ht="12.75" customHeight="1" x14ac:dyDescent="0.2">
      <c r="A22" s="24"/>
      <c r="B22" s="24"/>
      <c r="C22" s="43"/>
      <c r="D22" s="44"/>
      <c r="E22" s="45"/>
    </row>
    <row r="23" spans="1:5" ht="12.75" customHeight="1" x14ac:dyDescent="0.2">
      <c r="A23" s="39" t="s">
        <v>98</v>
      </c>
      <c r="B23" s="39" t="str">
        <f>Labels!B17</f>
        <v>Avg Propensity Consume</v>
      </c>
      <c r="C23" s="40"/>
      <c r="D23" s="41"/>
      <c r="E23" s="42"/>
    </row>
    <row r="24" spans="1:5" ht="12.75" customHeight="1" x14ac:dyDescent="0.2">
      <c r="A24" s="24"/>
      <c r="B24" s="24"/>
      <c r="C24" s="43"/>
      <c r="D24" s="44"/>
      <c r="E24" s="45"/>
    </row>
    <row r="25" spans="1:5" ht="12.75" customHeight="1" x14ac:dyDescent="0.2">
      <c r="A25" s="39" t="s">
        <v>204</v>
      </c>
      <c r="B25" s="39" t="str">
        <f>Labels!B18</f>
        <v>Aggregate Demand</v>
      </c>
      <c r="C25" s="40" t="s">
        <v>282</v>
      </c>
      <c r="D25" s="41" t="s">
        <v>285</v>
      </c>
      <c r="E25" s="42" t="s">
        <v>175</v>
      </c>
    </row>
    <row r="26" spans="1:5" ht="12.75" customHeight="1" x14ac:dyDescent="0.2">
      <c r="A26" s="24"/>
      <c r="B26" s="24"/>
      <c r="C26" s="43"/>
      <c r="D26" s="44"/>
      <c r="E26" s="45"/>
    </row>
    <row r="27" spans="1:5" ht="12.75" customHeight="1" x14ac:dyDescent="0.2">
      <c r="A27" s="39" t="s">
        <v>170</v>
      </c>
      <c r="B27" s="39" t="str">
        <f>Labels!B19</f>
        <v>Long Expected Demand</v>
      </c>
      <c r="C27" s="40" t="s">
        <v>282</v>
      </c>
      <c r="D27" s="41" t="s">
        <v>285</v>
      </c>
      <c r="E27" s="42" t="s">
        <v>110</v>
      </c>
    </row>
    <row r="28" spans="1:5" ht="12.75" customHeight="1" x14ac:dyDescent="0.2">
      <c r="A28" s="24"/>
      <c r="B28" s="24"/>
      <c r="C28" s="43"/>
      <c r="D28" s="44"/>
      <c r="E28" s="45"/>
    </row>
    <row r="29" spans="1:5" ht="12.75" customHeight="1" x14ac:dyDescent="0.2">
      <c r="A29" s="39" t="s">
        <v>86</v>
      </c>
      <c r="B29" s="39" t="str">
        <f>Labels!B20</f>
        <v>Short Expected Demand</v>
      </c>
      <c r="C29" s="40" t="s">
        <v>282</v>
      </c>
      <c r="D29" s="41" t="s">
        <v>285</v>
      </c>
      <c r="E29" s="42" t="s">
        <v>41</v>
      </c>
    </row>
    <row r="30" spans="1:5" ht="12.75" customHeight="1" x14ac:dyDescent="0.2">
      <c r="A30" s="24"/>
      <c r="B30" s="24"/>
      <c r="C30" s="43"/>
      <c r="D30" s="44"/>
      <c r="E30" s="45"/>
    </row>
    <row r="31" spans="1:5" ht="12.75" customHeight="1" x14ac:dyDescent="0.2">
      <c r="A31" s="39" t="s">
        <v>156</v>
      </c>
      <c r="B31" s="39" t="str">
        <f>Labels!B21</f>
        <v>dt</v>
      </c>
      <c r="C31" s="40" t="s">
        <v>282</v>
      </c>
      <c r="D31" s="41" t="s">
        <v>285</v>
      </c>
      <c r="E31" s="42" t="s">
        <v>62</v>
      </c>
    </row>
    <row r="32" spans="1:5" ht="12.75" customHeight="1" x14ac:dyDescent="0.2">
      <c r="A32" s="24"/>
      <c r="B32" s="24"/>
      <c r="C32" s="43"/>
      <c r="D32" s="44"/>
      <c r="E32" s="45"/>
    </row>
    <row r="33" spans="1:5" ht="12.75" customHeight="1" x14ac:dyDescent="0.2">
      <c r="A33" s="39" t="s">
        <v>50</v>
      </c>
      <c r="B33" s="39" t="str">
        <f>Labels!B22</f>
        <v>Employment</v>
      </c>
      <c r="C33" s="40" t="s">
        <v>282</v>
      </c>
      <c r="D33" s="41" t="s">
        <v>285</v>
      </c>
      <c r="E33" s="42" t="s">
        <v>291</v>
      </c>
    </row>
    <row r="34" spans="1:5" ht="12.75" customHeight="1" x14ac:dyDescent="0.2">
      <c r="A34" s="24"/>
      <c r="B34" s="24"/>
      <c r="C34" s="43"/>
      <c r="D34" s="44"/>
      <c r="E34" s="45"/>
    </row>
    <row r="35" spans="1:5" ht="12.75" customHeight="1" x14ac:dyDescent="0.2">
      <c r="A35" s="39" t="s">
        <v>5</v>
      </c>
      <c r="B35" s="39" t="str">
        <f>Labels!B23</f>
        <v>Desired Employment</v>
      </c>
      <c r="C35" s="40" t="s">
        <v>282</v>
      </c>
      <c r="D35" s="41" t="s">
        <v>285</v>
      </c>
      <c r="E35" s="42" t="s">
        <v>254</v>
      </c>
    </row>
    <row r="36" spans="1:5" ht="12.75" customHeight="1" x14ac:dyDescent="0.2">
      <c r="A36" s="24"/>
      <c r="B36" s="24"/>
      <c r="C36" s="43"/>
      <c r="D36" s="44"/>
      <c r="E36" s="45"/>
    </row>
    <row r="37" spans="1:5" ht="12.75" customHeight="1" x14ac:dyDescent="0.2">
      <c r="A37" s="39" t="s">
        <v>81</v>
      </c>
      <c r="B37" s="39" t="str">
        <f>Labels!B24</f>
        <v>Equilibrium Employment</v>
      </c>
      <c r="C37" s="40"/>
      <c r="D37" s="41"/>
      <c r="E37" s="42"/>
    </row>
    <row r="38" spans="1:5" ht="12.75" customHeight="1" x14ac:dyDescent="0.2">
      <c r="A38" s="24"/>
      <c r="B38" s="24"/>
      <c r="C38" s="43"/>
      <c r="D38" s="44"/>
      <c r="E38" s="45"/>
    </row>
    <row r="39" spans="1:5" ht="12.75" customHeight="1" x14ac:dyDescent="0.2">
      <c r="A39" s="39" t="s">
        <v>243</v>
      </c>
      <c r="B39" s="39" t="str">
        <f>Labels!B25</f>
        <v>Final Sales</v>
      </c>
      <c r="C39" s="40" t="s">
        <v>282</v>
      </c>
      <c r="D39" s="41" t="s">
        <v>285</v>
      </c>
      <c r="E39" s="42" t="s">
        <v>187</v>
      </c>
    </row>
    <row r="40" spans="1:5" ht="12.75" customHeight="1" x14ac:dyDescent="0.2">
      <c r="A40" s="24"/>
      <c r="B40" s="24"/>
      <c r="C40" s="43"/>
      <c r="D40" s="44"/>
      <c r="E40" s="45"/>
    </row>
    <row r="41" spans="1:5" ht="12.75" customHeight="1" x14ac:dyDescent="0.2">
      <c r="A41" s="39" t="s">
        <v>68</v>
      </c>
      <c r="B41" s="39" t="str">
        <f>Labels!B26</f>
        <v>Flexibility Capacity Utilization</v>
      </c>
      <c r="C41" s="40"/>
      <c r="D41" s="41"/>
      <c r="E41" s="42"/>
    </row>
    <row r="42" spans="1:5" ht="12.75" customHeight="1" x14ac:dyDescent="0.2">
      <c r="A42" s="24"/>
      <c r="B42" s="24"/>
      <c r="C42" s="43"/>
      <c r="D42" s="44"/>
      <c r="E42" s="45"/>
    </row>
    <row r="43" spans="1:5" ht="12.75" customHeight="1" x14ac:dyDescent="0.2">
      <c r="A43" s="39" t="s">
        <v>79</v>
      </c>
      <c r="B43" s="39" t="str">
        <f>Labels!B27</f>
        <v>Equilib Gov Spending</v>
      </c>
      <c r="C43" s="40" t="s">
        <v>282</v>
      </c>
      <c r="D43" s="41" t="s">
        <v>285</v>
      </c>
      <c r="E43" s="42" t="s">
        <v>270</v>
      </c>
    </row>
    <row r="44" spans="1:5" ht="12.75" customHeight="1" x14ac:dyDescent="0.2">
      <c r="A44" s="24"/>
      <c r="B44" s="24"/>
      <c r="C44" s="43"/>
      <c r="D44" s="44"/>
      <c r="E44" s="45"/>
    </row>
    <row r="45" spans="1:5" ht="12.75" customHeight="1" x14ac:dyDescent="0.2">
      <c r="A45" s="39" t="s">
        <v>207</v>
      </c>
      <c r="B45" s="39" t="str">
        <f>Labels!B28</f>
        <v>Equilibrium Gov Spend %</v>
      </c>
      <c r="C45" s="40"/>
      <c r="D45" s="41"/>
      <c r="E45" s="42"/>
    </row>
    <row r="46" spans="1:5" ht="12.75" customHeight="1" x14ac:dyDescent="0.2">
      <c r="A46" s="24"/>
      <c r="B46" s="24"/>
      <c r="C46" s="43"/>
      <c r="D46" s="44"/>
      <c r="E46" s="45"/>
    </row>
    <row r="47" spans="1:5" ht="12.75" customHeight="1" x14ac:dyDescent="0.2">
      <c r="A47" s="39" t="s">
        <v>65</v>
      </c>
      <c r="B47" s="39" t="str">
        <f>Labels!B29</f>
        <v>Gov Spending</v>
      </c>
      <c r="C47" s="40" t="s">
        <v>282</v>
      </c>
      <c r="D47" s="41" t="s">
        <v>285</v>
      </c>
      <c r="E47" s="42" t="s">
        <v>79</v>
      </c>
    </row>
    <row r="48" spans="1:5" ht="12.75" customHeight="1" x14ac:dyDescent="0.2">
      <c r="A48" s="24"/>
      <c r="B48" s="24"/>
      <c r="C48" s="43"/>
      <c r="D48" s="44"/>
      <c r="E48" s="45"/>
    </row>
    <row r="49" spans="1:5" ht="12.75" customHeight="1" x14ac:dyDescent="0.2">
      <c r="A49" s="39" t="s">
        <v>232</v>
      </c>
      <c r="B49" s="39" t="str">
        <f>Labels!B30</f>
        <v>Gov Transfers</v>
      </c>
      <c r="C49" s="40" t="s">
        <v>282</v>
      </c>
      <c r="D49" s="41" t="s">
        <v>285</v>
      </c>
      <c r="E49" s="42" t="s">
        <v>104</v>
      </c>
    </row>
    <row r="50" spans="1:5" ht="12.75" customHeight="1" x14ac:dyDescent="0.2">
      <c r="A50" s="24"/>
      <c r="B50" s="24"/>
      <c r="C50" s="43"/>
      <c r="D50" s="44"/>
      <c r="E50" s="45"/>
    </row>
    <row r="51" spans="1:5" ht="12.75" customHeight="1" x14ac:dyDescent="0.2">
      <c r="A51" s="39" t="s">
        <v>104</v>
      </c>
      <c r="B51" s="39" t="str">
        <f>Labels!B31</f>
        <v>Equilib Gov Transfers</v>
      </c>
      <c r="C51" s="40" t="s">
        <v>282</v>
      </c>
      <c r="D51" s="41" t="s">
        <v>285</v>
      </c>
      <c r="E51" s="42" t="s">
        <v>77</v>
      </c>
    </row>
    <row r="52" spans="1:5" ht="12.75" customHeight="1" x14ac:dyDescent="0.2">
      <c r="A52" s="24"/>
      <c r="B52" s="24"/>
      <c r="C52" s="43"/>
      <c r="D52" s="44"/>
      <c r="E52" s="45"/>
    </row>
    <row r="53" spans="1:5" ht="12.75" customHeight="1" x14ac:dyDescent="0.2">
      <c r="A53" s="39" t="s">
        <v>221</v>
      </c>
      <c r="B53" s="39" t="str">
        <f>Labels!B32</f>
        <v>Equilibrium Gov Transfers %</v>
      </c>
      <c r="C53" s="40"/>
      <c r="D53" s="41"/>
      <c r="E53" s="42"/>
    </row>
    <row r="54" spans="1:5" ht="12.75" customHeight="1" x14ac:dyDescent="0.2">
      <c r="A54" s="24"/>
      <c r="B54" s="24"/>
      <c r="C54" s="43"/>
      <c r="D54" s="44"/>
      <c r="E54" s="45"/>
    </row>
    <row r="55" spans="1:5" ht="12.75" customHeight="1" x14ac:dyDescent="0.2">
      <c r="A55" s="39" t="s">
        <v>106</v>
      </c>
      <c r="B55" s="39" t="str">
        <f>Labels!B33</f>
        <v>Current Disposable Income</v>
      </c>
      <c r="C55" s="40" t="s">
        <v>282</v>
      </c>
      <c r="D55" s="41" t="s">
        <v>285</v>
      </c>
      <c r="E55" s="42" t="s">
        <v>153</v>
      </c>
    </row>
    <row r="56" spans="1:5" ht="12.75" customHeight="1" x14ac:dyDescent="0.2">
      <c r="A56" s="24"/>
      <c r="B56" s="24"/>
      <c r="C56" s="43"/>
      <c r="D56" s="44"/>
      <c r="E56" s="45"/>
    </row>
    <row r="57" spans="1:5" ht="12.75" customHeight="1" x14ac:dyDescent="0.2">
      <c r="A57" s="39" t="s">
        <v>140</v>
      </c>
      <c r="B57" s="39" t="str">
        <f>Labels!B34</f>
        <v>Permanent Income</v>
      </c>
      <c r="C57" s="40" t="s">
        <v>282</v>
      </c>
      <c r="D57" s="41" t="s">
        <v>285</v>
      </c>
      <c r="E57" s="42" t="s">
        <v>235</v>
      </c>
    </row>
    <row r="58" spans="1:5" ht="12.75" customHeight="1" x14ac:dyDescent="0.2">
      <c r="A58" s="24"/>
      <c r="B58" s="24"/>
      <c r="C58" s="43"/>
      <c r="D58" s="44"/>
      <c r="E58" s="45"/>
    </row>
    <row r="59" spans="1:5" ht="12.75" customHeight="1" x14ac:dyDescent="0.2">
      <c r="A59" s="39" t="s">
        <v>97</v>
      </c>
      <c r="B59" s="39" t="str">
        <f>Labels!B35</f>
        <v>Long Interest Rate</v>
      </c>
      <c r="C59" s="40" t="s">
        <v>282</v>
      </c>
      <c r="D59" s="41" t="s">
        <v>285</v>
      </c>
      <c r="E59" s="42" t="s">
        <v>56</v>
      </c>
    </row>
    <row r="60" spans="1:5" ht="12.75" customHeight="1" x14ac:dyDescent="0.2">
      <c r="A60" s="24"/>
      <c r="B60" s="24"/>
      <c r="C60" s="43"/>
      <c r="D60" s="44"/>
      <c r="E60" s="45"/>
    </row>
    <row r="61" spans="1:5" ht="12.75" customHeight="1" x14ac:dyDescent="0.2">
      <c r="A61" s="39" t="s">
        <v>144</v>
      </c>
      <c r="B61" s="39" t="str">
        <f>Labels!B36</f>
        <v>Long Annual Interest Rate</v>
      </c>
      <c r="C61" s="40"/>
      <c r="D61" s="41"/>
      <c r="E61" s="42"/>
    </row>
    <row r="62" spans="1:5" ht="12.75" customHeight="1" x14ac:dyDescent="0.2">
      <c r="A62" s="24"/>
      <c r="B62" s="24"/>
      <c r="C62" s="43"/>
      <c r="D62" s="44"/>
      <c r="E62" s="45"/>
    </row>
    <row r="63" spans="1:5" ht="12.75" customHeight="1" x14ac:dyDescent="0.2">
      <c r="A63" s="39" t="s">
        <v>47</v>
      </c>
      <c r="B63" s="39" t="str">
        <f>Labels!B37</f>
        <v>Model Name</v>
      </c>
      <c r="C63" s="40"/>
      <c r="D63" s="41"/>
      <c r="E63" s="42"/>
    </row>
    <row r="64" spans="1:5" ht="12.75" customHeight="1" x14ac:dyDescent="0.2">
      <c r="A64" s="24"/>
      <c r="B64" s="24"/>
      <c r="C64" s="43"/>
      <c r="D64" s="44"/>
      <c r="E64" s="45"/>
    </row>
    <row r="65" spans="1:5" ht="12.75" customHeight="1" x14ac:dyDescent="0.2">
      <c r="A65" s="39" t="s">
        <v>196</v>
      </c>
      <c r="B65" s="39" t="str">
        <f>Labels!B38</f>
        <v>Output</v>
      </c>
      <c r="C65" s="40" t="s">
        <v>282</v>
      </c>
      <c r="D65" s="41" t="s">
        <v>285</v>
      </c>
      <c r="E65" s="42" t="s">
        <v>51</v>
      </c>
    </row>
    <row r="66" spans="1:5" ht="12.75" customHeight="1" x14ac:dyDescent="0.2">
      <c r="A66" s="24"/>
      <c r="B66" s="24"/>
      <c r="C66" s="43"/>
      <c r="D66" s="44"/>
      <c r="E66" s="45"/>
    </row>
    <row r="67" spans="1:5" ht="12.75" customHeight="1" x14ac:dyDescent="0.2">
      <c r="A67" s="39" t="s">
        <v>6</v>
      </c>
      <c r="B67" s="39" t="str">
        <f>Labels!B39</f>
        <v>Equilibrium Output</v>
      </c>
      <c r="C67" s="40" t="s">
        <v>282</v>
      </c>
      <c r="D67" s="41" t="s">
        <v>285</v>
      </c>
      <c r="E67" s="42" t="s">
        <v>42</v>
      </c>
    </row>
    <row r="68" spans="1:5" ht="12.75" customHeight="1" x14ac:dyDescent="0.2">
      <c r="A68" s="24"/>
      <c r="B68" s="24"/>
      <c r="C68" s="43"/>
      <c r="D68" s="44"/>
      <c r="E68" s="45"/>
    </row>
    <row r="69" spans="1:5" ht="12.75" customHeight="1" x14ac:dyDescent="0.2">
      <c r="A69" s="39" t="s">
        <v>317</v>
      </c>
      <c r="B69" s="39" t="str">
        <f>Labels!B40</f>
        <v>Equilibrium Annual Output</v>
      </c>
      <c r="C69" s="40" t="s">
        <v>282</v>
      </c>
      <c r="D69" s="41" t="s">
        <v>285</v>
      </c>
      <c r="E69" s="42" t="s">
        <v>100</v>
      </c>
    </row>
    <row r="70" spans="1:5" ht="12.75" customHeight="1" x14ac:dyDescent="0.2">
      <c r="A70" s="24"/>
      <c r="B70" s="24"/>
      <c r="C70" s="43"/>
      <c r="D70" s="44"/>
      <c r="E70" s="45"/>
    </row>
    <row r="71" spans="1:5" ht="12.75" customHeight="1" x14ac:dyDescent="0.2">
      <c r="A71" s="39" t="s">
        <v>206</v>
      </c>
      <c r="B71" s="39" t="str">
        <f>Labels!B41</f>
        <v>Potential Output</v>
      </c>
      <c r="C71" s="40" t="s">
        <v>282</v>
      </c>
      <c r="D71" s="41" t="s">
        <v>285</v>
      </c>
      <c r="E71" s="42" t="s">
        <v>10</v>
      </c>
    </row>
    <row r="72" spans="1:5" ht="12.75" customHeight="1" x14ac:dyDescent="0.2">
      <c r="A72" s="24"/>
      <c r="B72" s="24"/>
      <c r="C72" s="43"/>
      <c r="D72" s="44"/>
      <c r="E72" s="45"/>
    </row>
    <row r="73" spans="1:5" ht="12.75" customHeight="1" x14ac:dyDescent="0.2">
      <c r="A73" s="39" t="s">
        <v>9</v>
      </c>
      <c r="B73" s="39" t="str">
        <f>Labels!B42</f>
        <v>Equilib Real Wage</v>
      </c>
      <c r="C73" s="40" t="s">
        <v>282</v>
      </c>
      <c r="D73" s="41" t="s">
        <v>285</v>
      </c>
      <c r="E73" s="42" t="s">
        <v>148</v>
      </c>
    </row>
    <row r="74" spans="1:5" ht="12.75" customHeight="1" x14ac:dyDescent="0.2">
      <c r="A74" s="24"/>
      <c r="B74" s="24"/>
      <c r="C74" s="43"/>
      <c r="D74" s="44"/>
      <c r="E74" s="45"/>
    </row>
    <row r="75" spans="1:5" ht="12.75" customHeight="1" x14ac:dyDescent="0.2">
      <c r="A75" s="39" t="s">
        <v>157</v>
      </c>
      <c r="B75" s="39" t="str">
        <f>Labels!B43</f>
        <v>Equilibrium Real Wage %</v>
      </c>
      <c r="C75" s="40"/>
      <c r="D75" s="41"/>
      <c r="E75" s="42"/>
    </row>
    <row r="76" spans="1:5" ht="12.75" customHeight="1" x14ac:dyDescent="0.2">
      <c r="A76" s="24"/>
      <c r="B76" s="24"/>
      <c r="C76" s="43"/>
      <c r="D76" s="44"/>
      <c r="E76" s="45"/>
    </row>
    <row r="77" spans="1:5" ht="12.75" customHeight="1" x14ac:dyDescent="0.2">
      <c r="A77" s="39" t="s">
        <v>242</v>
      </c>
      <c r="B77" s="39" t="str">
        <f>Labels!B44</f>
        <v>Aggregate Demand Shock</v>
      </c>
      <c r="C77" s="40" t="s">
        <v>282</v>
      </c>
      <c r="D77" s="41" t="s">
        <v>285</v>
      </c>
      <c r="E77" s="42" t="s">
        <v>60</v>
      </c>
    </row>
    <row r="78" spans="1:5" ht="12.75" customHeight="1" x14ac:dyDescent="0.2">
      <c r="A78" s="24"/>
      <c r="B78" s="24"/>
      <c r="C78" s="43"/>
      <c r="D78" s="44"/>
      <c r="E78" s="45"/>
    </row>
    <row r="79" spans="1:5" ht="12.75" customHeight="1" x14ac:dyDescent="0.2">
      <c r="A79" s="39" t="s">
        <v>92</v>
      </c>
      <c r="B79" s="39" t="str">
        <f>Labels!B45</f>
        <v>Shock_Cutoff</v>
      </c>
      <c r="C79" s="40"/>
      <c r="D79" s="41"/>
      <c r="E79" s="42"/>
    </row>
    <row r="80" spans="1:5" ht="12.75" customHeight="1" x14ac:dyDescent="0.2">
      <c r="A80" s="24"/>
      <c r="B80" s="24"/>
      <c r="C80" s="43"/>
      <c r="D80" s="44"/>
      <c r="E80" s="45"/>
    </row>
    <row r="81" spans="1:5" ht="12.75" customHeight="1" x14ac:dyDescent="0.2">
      <c r="A81" s="39" t="s">
        <v>114</v>
      </c>
      <c r="B81" s="39" t="str">
        <f>Labels!B46</f>
        <v>Output Shock</v>
      </c>
      <c r="C81" s="40" t="s">
        <v>282</v>
      </c>
      <c r="D81" s="41" t="s">
        <v>285</v>
      </c>
      <c r="E81" s="42" t="s">
        <v>60</v>
      </c>
    </row>
    <row r="82" spans="1:5" ht="12.75" customHeight="1" x14ac:dyDescent="0.2">
      <c r="A82" s="24"/>
      <c r="B82" s="24"/>
      <c r="C82" s="43"/>
      <c r="D82" s="44"/>
      <c r="E82" s="45"/>
    </row>
    <row r="83" spans="1:5" ht="12.75" customHeight="1" x14ac:dyDescent="0.2">
      <c r="A83" s="39" t="s">
        <v>113</v>
      </c>
      <c r="B83" s="39" t="str">
        <f>Labels!B47</f>
        <v>Shock_Std_Dev</v>
      </c>
      <c r="C83" s="40" t="s">
        <v>282</v>
      </c>
      <c r="D83" s="41" t="s">
        <v>285</v>
      </c>
      <c r="E83" s="42" t="s">
        <v>34</v>
      </c>
    </row>
    <row r="84" spans="1:5" ht="12.75" customHeight="1" x14ac:dyDescent="0.2">
      <c r="A84" s="24"/>
      <c r="B84" s="24"/>
      <c r="C84" s="43"/>
      <c r="D84" s="44"/>
      <c r="E84" s="45"/>
    </row>
    <row r="85" spans="1:5" ht="12.75" customHeight="1" x14ac:dyDescent="0.2">
      <c r="A85" s="39" t="s">
        <v>128</v>
      </c>
      <c r="B85" s="39" t="str">
        <f>Labels!B48</f>
        <v>Shock Std Deviation %</v>
      </c>
      <c r="C85" s="40"/>
      <c r="D85" s="41"/>
      <c r="E85" s="42"/>
    </row>
    <row r="86" spans="1:5" ht="12.75" customHeight="1" x14ac:dyDescent="0.2">
      <c r="A86" s="24"/>
      <c r="B86" s="24"/>
      <c r="C86" s="43"/>
      <c r="D86" s="44"/>
      <c r="E86" s="45"/>
    </row>
    <row r="87" spans="1:5" ht="12.75" customHeight="1" x14ac:dyDescent="0.2">
      <c r="A87" s="39" t="s">
        <v>8</v>
      </c>
      <c r="B87" s="39" t="str">
        <f>Labels!B49</f>
        <v>Tax</v>
      </c>
      <c r="C87" s="40" t="s">
        <v>282</v>
      </c>
      <c r="D87" s="41" t="s">
        <v>285</v>
      </c>
      <c r="E87" s="42" t="s">
        <v>44</v>
      </c>
    </row>
    <row r="88" spans="1:5" ht="12.75" customHeight="1" x14ac:dyDescent="0.2">
      <c r="A88" s="24"/>
      <c r="B88" s="24"/>
      <c r="C88" s="43"/>
      <c r="D88" s="44"/>
      <c r="E88" s="45"/>
    </row>
    <row r="89" spans="1:5" ht="12.75" customHeight="1" x14ac:dyDescent="0.2">
      <c r="A89" s="39" t="s">
        <v>119</v>
      </c>
      <c r="B89" s="39" t="str">
        <f>Labels!B50</f>
        <v>Tax Rate</v>
      </c>
      <c r="C89" s="40" t="s">
        <v>282</v>
      </c>
      <c r="D89" s="41" t="s">
        <v>285</v>
      </c>
      <c r="E89" s="42" t="s">
        <v>161</v>
      </c>
    </row>
    <row r="90" spans="1:5" ht="12.75" customHeight="1" x14ac:dyDescent="0.2">
      <c r="A90" s="24"/>
      <c r="B90" s="24"/>
      <c r="C90" s="43"/>
      <c r="D90" s="44"/>
      <c r="E90" s="45"/>
    </row>
    <row r="91" spans="1:5" ht="12.75" customHeight="1" x14ac:dyDescent="0.2">
      <c r="A91" s="39" t="s">
        <v>217</v>
      </c>
      <c r="B91" s="39" t="str">
        <f>Labels!B51</f>
        <v>Time</v>
      </c>
      <c r="C91" s="40" t="s">
        <v>282</v>
      </c>
      <c r="D91" s="41" t="s">
        <v>285</v>
      </c>
      <c r="E91" s="42" t="s">
        <v>299</v>
      </c>
    </row>
    <row r="92" spans="1:5" ht="12.75" customHeight="1" x14ac:dyDescent="0.2">
      <c r="A92" s="24"/>
      <c r="B92" s="24"/>
      <c r="C92" s="43"/>
      <c r="D92" s="44"/>
      <c r="E92" s="45"/>
    </row>
    <row r="93" spans="1:5" ht="12.75" customHeight="1" x14ac:dyDescent="0.2">
      <c r="A93" s="39" t="s">
        <v>129</v>
      </c>
      <c r="B93" s="39" t="str">
        <f>Labels!B52</f>
        <v>Time Adjust Capital</v>
      </c>
      <c r="C93" s="40"/>
      <c r="D93" s="41"/>
      <c r="E93" s="42"/>
    </row>
    <row r="94" spans="1:5" ht="12.75" customHeight="1" x14ac:dyDescent="0.2">
      <c r="A94" s="24"/>
      <c r="B94" s="24"/>
      <c r="C94" s="43"/>
      <c r="D94" s="44"/>
      <c r="E94" s="45"/>
    </row>
    <row r="95" spans="1:5" ht="12.75" customHeight="1" x14ac:dyDescent="0.2">
      <c r="A95" s="39" t="s">
        <v>286</v>
      </c>
      <c r="B95" s="39" t="str">
        <f>Labels!B53</f>
        <v>Time Adjust Employment</v>
      </c>
      <c r="C95" s="40"/>
      <c r="D95" s="41"/>
      <c r="E95" s="42"/>
    </row>
    <row r="96" spans="1:5" ht="12.75" customHeight="1" x14ac:dyDescent="0.2">
      <c r="A96" s="24"/>
      <c r="B96" s="24"/>
      <c r="C96" s="43"/>
      <c r="D96" s="44"/>
      <c r="E96" s="45"/>
    </row>
    <row r="97" spans="1:5" ht="12.75" customHeight="1" x14ac:dyDescent="0.2">
      <c r="A97" s="39" t="s">
        <v>247</v>
      </c>
      <c r="B97" s="39" t="str">
        <f>Labels!B54</f>
        <v>Time Smooth Income</v>
      </c>
      <c r="C97" s="40"/>
      <c r="D97" s="41"/>
      <c r="E97" s="42"/>
    </row>
    <row r="98" spans="1:5" ht="12.75" customHeight="1" x14ac:dyDescent="0.2">
      <c r="A98" s="24"/>
      <c r="B98" s="24"/>
      <c r="C98" s="43"/>
      <c r="D98" s="44"/>
      <c r="E98" s="45"/>
    </row>
    <row r="99" spans="1:5" ht="12.75" customHeight="1" x14ac:dyDescent="0.2">
      <c r="A99" s="39" t="s">
        <v>155</v>
      </c>
      <c r="B99" s="39" t="str">
        <f>Labels!B55</f>
        <v>Time Smooth Long Demand</v>
      </c>
      <c r="C99" s="40"/>
      <c r="D99" s="41"/>
      <c r="E99" s="42"/>
    </row>
    <row r="100" spans="1:5" ht="12.75" customHeight="1" x14ac:dyDescent="0.2">
      <c r="A100" s="24"/>
      <c r="B100" s="24"/>
      <c r="C100" s="43"/>
      <c r="D100" s="44"/>
      <c r="E100" s="45"/>
    </row>
    <row r="101" spans="1:5" ht="12.75" customHeight="1" x14ac:dyDescent="0.2">
      <c r="A101" s="39" t="s">
        <v>279</v>
      </c>
      <c r="B101" s="39" t="str">
        <f>Labels!B56</f>
        <v>Time Smooth Short Demand</v>
      </c>
      <c r="C101" s="40"/>
      <c r="D101" s="41"/>
      <c r="E101" s="42"/>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N83"/>
  <sheetViews>
    <sheetView workbookViewId="0"/>
  </sheetViews>
  <sheetFormatPr defaultRowHeight="12.75" customHeight="1" x14ac:dyDescent="0.2"/>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"(Intermediate Computations)"</f>
        <v>(Intermediate Computations)</v>
      </c>
      <c r="B4" s="112"/>
      <c r="C4" s="112"/>
    </row>
    <row r="5" spans="1:144" ht="12.75" customHeight="1" x14ac:dyDescent="0.2">
      <c r="A5" s="112" t="str">
        <f>""</f>
        <v/>
      </c>
      <c r="B5" s="112"/>
      <c r="C5" s="112"/>
    </row>
    <row r="6" spans="1:144" ht="12.75" customHeight="1" x14ac:dyDescent="0.2">
      <c r="A6" s="2" t="str">
        <f>"Demand_Aggregate_1"</f>
        <v>Demand_Aggregate_1</v>
      </c>
    </row>
    <row r="7" spans="1:144" ht="12.75" customHeight="1" x14ac:dyDescent="0.2">
      <c r="B7" s="19" t="str">
        <f>ZZZ__FnCalls!F7</f>
        <v>MMM 2010</v>
      </c>
      <c r="C7" s="20" t="str">
        <f>ZZZ__FnCalls!F8</f>
        <v>MMM 2010</v>
      </c>
      <c r="D7" s="20" t="str">
        <f>ZZZ__FnCalls!F9</f>
        <v>MMM 2010</v>
      </c>
      <c r="E7" s="20" t="str">
        <f>ZZZ__FnCalls!F10</f>
        <v>MMM 2010</v>
      </c>
      <c r="F7" s="20" t="str">
        <f>ZZZ__FnCalls!F11</f>
        <v>MMM 2010</v>
      </c>
      <c r="G7" s="20" t="str">
        <f>ZZZ__FnCalls!F12</f>
        <v>MMM 2010</v>
      </c>
      <c r="H7" s="20" t="str">
        <f>ZZZ__FnCalls!F13</f>
        <v>MMM 2010</v>
      </c>
      <c r="I7" s="20" t="str">
        <f>ZZZ__FnCalls!F14</f>
        <v>MMM 2010</v>
      </c>
      <c r="J7" s="20" t="str">
        <f>ZZZ__FnCalls!F15</f>
        <v>MMM 2010</v>
      </c>
      <c r="K7" s="20" t="str">
        <f>ZZZ__FnCalls!F16</f>
        <v>MMM 2010</v>
      </c>
      <c r="L7" s="20" t="str">
        <f>ZZZ__FnCalls!F17</f>
        <v>MMM 2010</v>
      </c>
      <c r="M7" s="20" t="str">
        <f>ZZZ__FnCalls!F18</f>
        <v>MMM 2010</v>
      </c>
      <c r="N7" s="21" t="str">
        <f>ZZZ__FnCalls!H7</f>
        <v>2010</v>
      </c>
      <c r="O7" s="20" t="str">
        <f>ZZZ__FnCalls!F19</f>
        <v>MMM 2011</v>
      </c>
      <c r="P7" s="20" t="str">
        <f>ZZZ__FnCalls!F20</f>
        <v>MMM 2011</v>
      </c>
      <c r="Q7" s="20" t="str">
        <f>ZZZ__FnCalls!F21</f>
        <v>MMM 2011</v>
      </c>
      <c r="R7" s="20" t="str">
        <f>ZZZ__FnCalls!F22</f>
        <v>MMM 2011</v>
      </c>
      <c r="S7" s="20" t="str">
        <f>ZZZ__FnCalls!F23</f>
        <v>MMM 2011</v>
      </c>
      <c r="T7" s="20" t="str">
        <f>ZZZ__FnCalls!F24</f>
        <v>MMM 2011</v>
      </c>
      <c r="U7" s="20" t="str">
        <f>ZZZ__FnCalls!F25</f>
        <v>MMM 2011</v>
      </c>
      <c r="V7" s="20" t="str">
        <f>ZZZ__FnCalls!F26</f>
        <v>MMM 2011</v>
      </c>
      <c r="W7" s="20" t="str">
        <f>ZZZ__FnCalls!F27</f>
        <v>MMM 2011</v>
      </c>
      <c r="X7" s="20" t="str">
        <f>ZZZ__FnCalls!F28</f>
        <v>MMM 2011</v>
      </c>
      <c r="Y7" s="20" t="str">
        <f>ZZZ__FnCalls!F29</f>
        <v>MMM 2011</v>
      </c>
      <c r="Z7" s="20" t="str">
        <f>ZZZ__FnCalls!F30</f>
        <v>MMM 2011</v>
      </c>
      <c r="AA7" s="21" t="str">
        <f>ZZZ__FnCalls!H19</f>
        <v>2011</v>
      </c>
      <c r="AB7" s="20" t="str">
        <f>ZZZ__FnCalls!F31</f>
        <v>MMM 2012</v>
      </c>
      <c r="AC7" s="20" t="str">
        <f>ZZZ__FnCalls!F32</f>
        <v>MMM 2012</v>
      </c>
      <c r="AD7" s="20" t="str">
        <f>ZZZ__FnCalls!F33</f>
        <v>MMM 2012</v>
      </c>
      <c r="AE7" s="20" t="str">
        <f>ZZZ__FnCalls!F34</f>
        <v>MMM 2012</v>
      </c>
      <c r="AF7" s="20" t="str">
        <f>ZZZ__FnCalls!F35</f>
        <v>MMM 2012</v>
      </c>
      <c r="AG7" s="20" t="str">
        <f>ZZZ__FnCalls!F36</f>
        <v>MMM 2012</v>
      </c>
      <c r="AH7" s="20" t="str">
        <f>ZZZ__FnCalls!F37</f>
        <v>MMM 2012</v>
      </c>
      <c r="AI7" s="20" t="str">
        <f>ZZZ__FnCalls!F38</f>
        <v>MMM 2012</v>
      </c>
      <c r="AJ7" s="20" t="str">
        <f>ZZZ__FnCalls!F39</f>
        <v>MMM 2012</v>
      </c>
      <c r="AK7" s="20" t="str">
        <f>ZZZ__FnCalls!F40</f>
        <v>MMM 2012</v>
      </c>
      <c r="AL7" s="20" t="str">
        <f>ZZZ__FnCalls!F41</f>
        <v>MMM 2012</v>
      </c>
      <c r="AM7" s="20" t="str">
        <f>ZZZ__FnCalls!F42</f>
        <v>MMM 2012</v>
      </c>
      <c r="AN7" s="21" t="str">
        <f>ZZZ__FnCalls!H31</f>
        <v>2012</v>
      </c>
      <c r="AO7" s="20" t="str">
        <f>ZZZ__FnCalls!F43</f>
        <v>MMM 2013</v>
      </c>
      <c r="AP7" s="20" t="str">
        <f>ZZZ__FnCalls!F44</f>
        <v>MMM 2013</v>
      </c>
      <c r="AQ7" s="20" t="str">
        <f>ZZZ__FnCalls!F45</f>
        <v>MMM 2013</v>
      </c>
      <c r="AR7" s="20" t="str">
        <f>ZZZ__FnCalls!F46</f>
        <v>MMM 2013</v>
      </c>
      <c r="AS7" s="20" t="str">
        <f>ZZZ__FnCalls!F47</f>
        <v>MMM 2013</v>
      </c>
      <c r="AT7" s="20" t="str">
        <f>ZZZ__FnCalls!F48</f>
        <v>MMM 2013</v>
      </c>
      <c r="AU7" s="20" t="str">
        <f>ZZZ__FnCalls!F49</f>
        <v>MMM 2013</v>
      </c>
      <c r="AV7" s="20" t="str">
        <f>ZZZ__FnCalls!F50</f>
        <v>MMM 2013</v>
      </c>
      <c r="AW7" s="20" t="str">
        <f>ZZZ__FnCalls!F51</f>
        <v>MMM 2013</v>
      </c>
      <c r="AX7" s="20" t="str">
        <f>ZZZ__FnCalls!F52</f>
        <v>MMM 2013</v>
      </c>
      <c r="AY7" s="20" t="str">
        <f>ZZZ__FnCalls!F53</f>
        <v>MMM 2013</v>
      </c>
      <c r="AZ7" s="20" t="str">
        <f>ZZZ__FnCalls!F54</f>
        <v>MMM 2013</v>
      </c>
      <c r="BA7" s="21" t="str">
        <f>ZZZ__FnCalls!H43</f>
        <v>2013</v>
      </c>
      <c r="BB7" s="20" t="str">
        <f>ZZZ__FnCalls!F55</f>
        <v>MMM 2014</v>
      </c>
      <c r="BC7" s="20" t="str">
        <f>ZZZ__FnCalls!F56</f>
        <v>MMM 2014</v>
      </c>
      <c r="BD7" s="20" t="str">
        <f>ZZZ__FnCalls!F57</f>
        <v>MMM 2014</v>
      </c>
      <c r="BE7" s="20" t="str">
        <f>ZZZ__FnCalls!F58</f>
        <v>MMM 2014</v>
      </c>
      <c r="BF7" s="20" t="str">
        <f>ZZZ__FnCalls!F59</f>
        <v>MMM 2014</v>
      </c>
      <c r="BG7" s="20" t="str">
        <f>ZZZ__FnCalls!F60</f>
        <v>MMM 2014</v>
      </c>
      <c r="BH7" s="20" t="str">
        <f>ZZZ__FnCalls!F61</f>
        <v>MMM 2014</v>
      </c>
      <c r="BI7" s="20" t="str">
        <f>ZZZ__FnCalls!F62</f>
        <v>MMM 2014</v>
      </c>
      <c r="BJ7" s="20" t="str">
        <f>ZZZ__FnCalls!F63</f>
        <v>MMM 2014</v>
      </c>
      <c r="BK7" s="20" t="str">
        <f>ZZZ__FnCalls!F64</f>
        <v>MMM 2014</v>
      </c>
      <c r="BL7" s="20" t="str">
        <f>ZZZ__FnCalls!F65</f>
        <v>MMM 2014</v>
      </c>
      <c r="BM7" s="20" t="str">
        <f>ZZZ__FnCalls!F66</f>
        <v>MMM 2014</v>
      </c>
      <c r="BN7" s="21" t="str">
        <f>ZZZ__FnCalls!H55</f>
        <v>2014</v>
      </c>
      <c r="BO7" s="20" t="str">
        <f>ZZZ__FnCalls!F67</f>
        <v>MMM 2015</v>
      </c>
      <c r="BP7" s="20" t="str">
        <f>ZZZ__FnCalls!F68</f>
        <v>MMM 2015</v>
      </c>
      <c r="BQ7" s="20" t="str">
        <f>ZZZ__FnCalls!F69</f>
        <v>MMM 2015</v>
      </c>
      <c r="BR7" s="20" t="str">
        <f>ZZZ__FnCalls!F70</f>
        <v>MMM 2015</v>
      </c>
      <c r="BS7" s="20" t="str">
        <f>ZZZ__FnCalls!F71</f>
        <v>MMM 2015</v>
      </c>
      <c r="BT7" s="20" t="str">
        <f>ZZZ__FnCalls!F72</f>
        <v>MMM 2015</v>
      </c>
      <c r="BU7" s="20" t="str">
        <f>ZZZ__FnCalls!F73</f>
        <v>MMM 2015</v>
      </c>
      <c r="BV7" s="20" t="str">
        <f>ZZZ__FnCalls!F74</f>
        <v>MMM 2015</v>
      </c>
      <c r="BW7" s="20" t="str">
        <f>ZZZ__FnCalls!F75</f>
        <v>MMM 2015</v>
      </c>
      <c r="BX7" s="20" t="str">
        <f>ZZZ__FnCalls!F76</f>
        <v>MMM 2015</v>
      </c>
      <c r="BY7" s="20" t="str">
        <f>ZZZ__FnCalls!F77</f>
        <v>MMM 2015</v>
      </c>
      <c r="BZ7" s="20" t="str">
        <f>ZZZ__FnCalls!F78</f>
        <v>MMM 2015</v>
      </c>
      <c r="CA7" s="21" t="str">
        <f>ZZZ__FnCalls!H67</f>
        <v>2015</v>
      </c>
      <c r="CB7" s="20" t="str">
        <f>ZZZ__FnCalls!F79</f>
        <v>MMM 2016</v>
      </c>
      <c r="CC7" s="20" t="str">
        <f>ZZZ__FnCalls!F80</f>
        <v>MMM 2016</v>
      </c>
      <c r="CD7" s="20" t="str">
        <f>ZZZ__FnCalls!F81</f>
        <v>MMM 2016</v>
      </c>
      <c r="CE7" s="20" t="str">
        <f>ZZZ__FnCalls!F82</f>
        <v>MMM 2016</v>
      </c>
      <c r="CF7" s="20" t="str">
        <f>ZZZ__FnCalls!F83</f>
        <v>MMM 2016</v>
      </c>
      <c r="CG7" s="20" t="str">
        <f>ZZZ__FnCalls!F84</f>
        <v>MMM 2016</v>
      </c>
      <c r="CH7" s="20" t="str">
        <f>ZZZ__FnCalls!F85</f>
        <v>MMM 2016</v>
      </c>
      <c r="CI7" s="20" t="str">
        <f>ZZZ__FnCalls!F86</f>
        <v>MMM 2016</v>
      </c>
      <c r="CJ7" s="20" t="str">
        <f>ZZZ__FnCalls!F87</f>
        <v>MMM 2016</v>
      </c>
      <c r="CK7" s="20" t="str">
        <f>ZZZ__FnCalls!F88</f>
        <v>MMM 2016</v>
      </c>
      <c r="CL7" s="20" t="str">
        <f>ZZZ__FnCalls!F89</f>
        <v>MMM 2016</v>
      </c>
      <c r="CM7" s="20" t="str">
        <f>ZZZ__FnCalls!F90</f>
        <v>MMM 2016</v>
      </c>
      <c r="CN7" s="21" t="str">
        <f>ZZZ__FnCalls!H79</f>
        <v>2016</v>
      </c>
      <c r="CO7" s="20" t="str">
        <f>ZZZ__FnCalls!F91</f>
        <v>MMM 2017</v>
      </c>
      <c r="CP7" s="20" t="str">
        <f>ZZZ__FnCalls!F92</f>
        <v>MMM 2017</v>
      </c>
      <c r="CQ7" s="20" t="str">
        <f>ZZZ__FnCalls!F93</f>
        <v>MMM 2017</v>
      </c>
      <c r="CR7" s="20" t="str">
        <f>ZZZ__FnCalls!F94</f>
        <v>MMM 2017</v>
      </c>
      <c r="CS7" s="20" t="str">
        <f>ZZZ__FnCalls!F95</f>
        <v>MMM 2017</v>
      </c>
      <c r="CT7" s="20" t="str">
        <f>ZZZ__FnCalls!F96</f>
        <v>MMM 2017</v>
      </c>
      <c r="CU7" s="20" t="str">
        <f>ZZZ__FnCalls!F97</f>
        <v>MMM 2017</v>
      </c>
      <c r="CV7" s="20" t="str">
        <f>ZZZ__FnCalls!F98</f>
        <v>MMM 2017</v>
      </c>
      <c r="CW7" s="20" t="str">
        <f>ZZZ__FnCalls!F99</f>
        <v>MMM 2017</v>
      </c>
      <c r="CX7" s="20" t="str">
        <f>ZZZ__FnCalls!F100</f>
        <v>MMM 2017</v>
      </c>
      <c r="CY7" s="20" t="str">
        <f>ZZZ__FnCalls!F101</f>
        <v>MMM 2017</v>
      </c>
      <c r="CZ7" s="20" t="str">
        <f>ZZZ__FnCalls!F102</f>
        <v>MMM 2017</v>
      </c>
      <c r="DA7" s="21" t="str">
        <f>ZZZ__FnCalls!H91</f>
        <v>2017</v>
      </c>
      <c r="DB7" s="20" t="str">
        <f>ZZZ__FnCalls!F103</f>
        <v>MMM 2018</v>
      </c>
      <c r="DC7" s="20" t="str">
        <f>ZZZ__FnCalls!F104</f>
        <v>MMM 2018</v>
      </c>
      <c r="DD7" s="20" t="str">
        <f>ZZZ__FnCalls!F105</f>
        <v>MMM 2018</v>
      </c>
      <c r="DE7" s="20" t="str">
        <f>ZZZ__FnCalls!F106</f>
        <v>MMM 2018</v>
      </c>
      <c r="DF7" s="20" t="str">
        <f>ZZZ__FnCalls!F107</f>
        <v>MMM 2018</v>
      </c>
      <c r="DG7" s="20" t="str">
        <f>ZZZ__FnCalls!F108</f>
        <v>MMM 2018</v>
      </c>
      <c r="DH7" s="20" t="str">
        <f>ZZZ__FnCalls!F109</f>
        <v>MMM 2018</v>
      </c>
      <c r="DI7" s="20" t="str">
        <f>ZZZ__FnCalls!F110</f>
        <v>MMM 2018</v>
      </c>
      <c r="DJ7" s="20" t="str">
        <f>ZZZ__FnCalls!F111</f>
        <v>MMM 2018</v>
      </c>
      <c r="DK7" s="20" t="str">
        <f>ZZZ__FnCalls!F112</f>
        <v>MMM 2018</v>
      </c>
      <c r="DL7" s="20" t="str">
        <f>ZZZ__FnCalls!F113</f>
        <v>MMM 2018</v>
      </c>
      <c r="DM7" s="20" t="str">
        <f>ZZZ__FnCalls!F114</f>
        <v>MMM 2018</v>
      </c>
      <c r="DN7" s="21" t="str">
        <f>ZZZ__FnCalls!H103</f>
        <v>2018</v>
      </c>
      <c r="DO7" s="20" t="str">
        <f>ZZZ__FnCalls!F115</f>
        <v>MMM 2019</v>
      </c>
      <c r="DP7" s="20" t="str">
        <f>ZZZ__FnCalls!F116</f>
        <v>MMM 2019</v>
      </c>
      <c r="DQ7" s="20" t="str">
        <f>ZZZ__FnCalls!F117</f>
        <v>MMM 2019</v>
      </c>
      <c r="DR7" s="20" t="str">
        <f>ZZZ__FnCalls!F118</f>
        <v>MMM 2019</v>
      </c>
      <c r="DS7" s="20" t="str">
        <f>ZZZ__FnCalls!F119</f>
        <v>MMM 2019</v>
      </c>
      <c r="DT7" s="20" t="str">
        <f>ZZZ__FnCalls!F120</f>
        <v>MMM 2019</v>
      </c>
      <c r="DU7" s="20" t="str">
        <f>ZZZ__FnCalls!F121</f>
        <v>MMM 2019</v>
      </c>
      <c r="DV7" s="20" t="str">
        <f>ZZZ__FnCalls!F122</f>
        <v>MMM 2019</v>
      </c>
      <c r="DW7" s="20" t="str">
        <f>ZZZ__FnCalls!F123</f>
        <v>MMM 2019</v>
      </c>
      <c r="DX7" s="20" t="str">
        <f>ZZZ__FnCalls!F124</f>
        <v>MMM 2019</v>
      </c>
      <c r="DY7" s="20" t="str">
        <f>ZZZ__FnCalls!F125</f>
        <v>MMM 2019</v>
      </c>
      <c r="DZ7" s="20" t="str">
        <f>ZZZ__FnCalls!F126</f>
        <v>MMM 2019</v>
      </c>
      <c r="EA7" s="21" t="str">
        <f>ZZZ__FnCalls!H115</f>
        <v>2019</v>
      </c>
      <c r="EB7" s="20" t="str">
        <f>ZZZ__FnCalls!F127</f>
        <v>MMM 2020</v>
      </c>
      <c r="EC7" s="20" t="str">
        <f>ZZZ__FnCalls!F128</f>
        <v>MMM 2020</v>
      </c>
      <c r="ED7" s="20" t="str">
        <f>ZZZ__FnCalls!F129</f>
        <v>MMM 2020</v>
      </c>
      <c r="EE7" s="20" t="str">
        <f>ZZZ__FnCalls!F130</f>
        <v>MMM 2020</v>
      </c>
      <c r="EF7" s="20" t="str">
        <f>ZZZ__FnCalls!F131</f>
        <v>MMM 2020</v>
      </c>
      <c r="EG7" s="20" t="str">
        <f>ZZZ__FnCalls!F132</f>
        <v>MMM 2020</v>
      </c>
      <c r="EH7" s="20" t="str">
        <f>ZZZ__FnCalls!F133</f>
        <v>MMM 2020</v>
      </c>
      <c r="EI7" s="20" t="str">
        <f>ZZZ__FnCalls!F134</f>
        <v>MMM 2020</v>
      </c>
      <c r="EJ7" s="20" t="str">
        <f>ZZZ__FnCalls!F135</f>
        <v>MMM 2020</v>
      </c>
      <c r="EK7" s="20" t="str">
        <f>ZZZ__FnCalls!F136</f>
        <v>MMM 2020</v>
      </c>
      <c r="EL7" s="20" t="str">
        <f>ZZZ__FnCalls!F137</f>
        <v>MMM 2020</v>
      </c>
      <c r="EM7" s="20" t="str">
        <f>ZZZ__FnCalls!F138</f>
        <v>MMM 2020</v>
      </c>
      <c r="EN7" s="21" t="str">
        <f>ZZZ__FnCalls!H127</f>
        <v>2020</v>
      </c>
    </row>
    <row r="8" spans="1:144" ht="12.75" customHeight="1" x14ac:dyDescent="0.2">
      <c r="A8" s="5"/>
      <c r="B8" s="46">
        <f>ZZZ__FnCalls!A7</f>
        <v>40179</v>
      </c>
      <c r="C8" s="46">
        <f>ZZZ__FnCalls!A8</f>
        <v>40210</v>
      </c>
      <c r="D8" s="46">
        <f>ZZZ__FnCalls!A9</f>
        <v>40238</v>
      </c>
      <c r="E8" s="46">
        <f>ZZZ__FnCalls!A10</f>
        <v>40269</v>
      </c>
      <c r="F8" s="46">
        <f>ZZZ__FnCalls!A11</f>
        <v>40299</v>
      </c>
      <c r="G8" s="46">
        <f>ZZZ__FnCalls!A12</f>
        <v>40330</v>
      </c>
      <c r="H8" s="46">
        <f>ZZZ__FnCalls!A13</f>
        <v>40360</v>
      </c>
      <c r="I8" s="46">
        <f>ZZZ__FnCalls!A14</f>
        <v>40391</v>
      </c>
      <c r="J8" s="46">
        <f>ZZZ__FnCalls!A15</f>
        <v>40422</v>
      </c>
      <c r="K8" s="46">
        <f>ZZZ__FnCalls!A16</f>
        <v>40452</v>
      </c>
      <c r="L8" s="46">
        <f>ZZZ__FnCalls!A17</f>
        <v>40483</v>
      </c>
      <c r="M8" s="46">
        <f>ZZZ__FnCalls!A18</f>
        <v>40513</v>
      </c>
      <c r="N8" s="47">
        <f>ZZZ__FnCalls!A7</f>
        <v>40179</v>
      </c>
      <c r="O8" s="46">
        <f>ZZZ__FnCalls!A19</f>
        <v>40544</v>
      </c>
      <c r="P8" s="46">
        <f>ZZZ__FnCalls!A20</f>
        <v>40575</v>
      </c>
      <c r="Q8" s="46">
        <f>ZZZ__FnCalls!A21</f>
        <v>40603</v>
      </c>
      <c r="R8" s="46">
        <f>ZZZ__FnCalls!A22</f>
        <v>40634</v>
      </c>
      <c r="S8" s="46">
        <f>ZZZ__FnCalls!A23</f>
        <v>40664</v>
      </c>
      <c r="T8" s="46">
        <f>ZZZ__FnCalls!A24</f>
        <v>40695</v>
      </c>
      <c r="U8" s="46">
        <f>ZZZ__FnCalls!A25</f>
        <v>40725</v>
      </c>
      <c r="V8" s="46">
        <f>ZZZ__FnCalls!A26</f>
        <v>40756</v>
      </c>
      <c r="W8" s="46">
        <f>ZZZ__FnCalls!A27</f>
        <v>40787</v>
      </c>
      <c r="X8" s="46">
        <f>ZZZ__FnCalls!A28</f>
        <v>40817</v>
      </c>
      <c r="Y8" s="46">
        <f>ZZZ__FnCalls!A29</f>
        <v>40848</v>
      </c>
      <c r="Z8" s="46">
        <f>ZZZ__FnCalls!A30</f>
        <v>40878</v>
      </c>
      <c r="AA8" s="47">
        <f>ZZZ__FnCalls!A19</f>
        <v>40544</v>
      </c>
      <c r="AB8" s="46">
        <f>ZZZ__FnCalls!A31</f>
        <v>40909</v>
      </c>
      <c r="AC8" s="46">
        <f>ZZZ__FnCalls!A32</f>
        <v>40940</v>
      </c>
      <c r="AD8" s="46">
        <f>ZZZ__FnCalls!A33</f>
        <v>40969</v>
      </c>
      <c r="AE8" s="46">
        <f>ZZZ__FnCalls!A34</f>
        <v>41000</v>
      </c>
      <c r="AF8" s="46">
        <f>ZZZ__FnCalls!A35</f>
        <v>41030</v>
      </c>
      <c r="AG8" s="46">
        <f>ZZZ__FnCalls!A36</f>
        <v>41061</v>
      </c>
      <c r="AH8" s="46">
        <f>ZZZ__FnCalls!A37</f>
        <v>41091</v>
      </c>
      <c r="AI8" s="46">
        <f>ZZZ__FnCalls!A38</f>
        <v>41122</v>
      </c>
      <c r="AJ8" s="46">
        <f>ZZZ__FnCalls!A39</f>
        <v>41153</v>
      </c>
      <c r="AK8" s="46">
        <f>ZZZ__FnCalls!A40</f>
        <v>41183</v>
      </c>
      <c r="AL8" s="46">
        <f>ZZZ__FnCalls!A41</f>
        <v>41214</v>
      </c>
      <c r="AM8" s="46">
        <f>ZZZ__FnCalls!A42</f>
        <v>41244</v>
      </c>
      <c r="AN8" s="47">
        <f>ZZZ__FnCalls!A31</f>
        <v>40909</v>
      </c>
      <c r="AO8" s="46">
        <f>ZZZ__FnCalls!A43</f>
        <v>41275</v>
      </c>
      <c r="AP8" s="46">
        <f>ZZZ__FnCalls!A44</f>
        <v>41306</v>
      </c>
      <c r="AQ8" s="46">
        <f>ZZZ__FnCalls!A45</f>
        <v>41334</v>
      </c>
      <c r="AR8" s="46">
        <f>ZZZ__FnCalls!A46</f>
        <v>41365</v>
      </c>
      <c r="AS8" s="46">
        <f>ZZZ__FnCalls!A47</f>
        <v>41395</v>
      </c>
      <c r="AT8" s="46">
        <f>ZZZ__FnCalls!A48</f>
        <v>41426</v>
      </c>
      <c r="AU8" s="46">
        <f>ZZZ__FnCalls!A49</f>
        <v>41456</v>
      </c>
      <c r="AV8" s="46">
        <f>ZZZ__FnCalls!A50</f>
        <v>41487</v>
      </c>
      <c r="AW8" s="46">
        <f>ZZZ__FnCalls!A51</f>
        <v>41518</v>
      </c>
      <c r="AX8" s="46">
        <f>ZZZ__FnCalls!A52</f>
        <v>41548</v>
      </c>
      <c r="AY8" s="46">
        <f>ZZZ__FnCalls!A53</f>
        <v>41579</v>
      </c>
      <c r="AZ8" s="46">
        <f>ZZZ__FnCalls!A54</f>
        <v>41609</v>
      </c>
      <c r="BA8" s="47">
        <f>ZZZ__FnCalls!A43</f>
        <v>41275</v>
      </c>
      <c r="BB8" s="46">
        <f>ZZZ__FnCalls!A55</f>
        <v>41640</v>
      </c>
      <c r="BC8" s="46">
        <f>ZZZ__FnCalls!A56</f>
        <v>41671</v>
      </c>
      <c r="BD8" s="46">
        <f>ZZZ__FnCalls!A57</f>
        <v>41699</v>
      </c>
      <c r="BE8" s="46">
        <f>ZZZ__FnCalls!A58</f>
        <v>41730</v>
      </c>
      <c r="BF8" s="46">
        <f>ZZZ__FnCalls!A59</f>
        <v>41760</v>
      </c>
      <c r="BG8" s="46">
        <f>ZZZ__FnCalls!A60</f>
        <v>41791</v>
      </c>
      <c r="BH8" s="46">
        <f>ZZZ__FnCalls!A61</f>
        <v>41821</v>
      </c>
      <c r="BI8" s="46">
        <f>ZZZ__FnCalls!A62</f>
        <v>41852</v>
      </c>
      <c r="BJ8" s="46">
        <f>ZZZ__FnCalls!A63</f>
        <v>41883</v>
      </c>
      <c r="BK8" s="46">
        <f>ZZZ__FnCalls!A64</f>
        <v>41913</v>
      </c>
      <c r="BL8" s="46">
        <f>ZZZ__FnCalls!A65</f>
        <v>41944</v>
      </c>
      <c r="BM8" s="46">
        <f>ZZZ__FnCalls!A66</f>
        <v>41974</v>
      </c>
      <c r="BN8" s="47">
        <f>ZZZ__FnCalls!A55</f>
        <v>41640</v>
      </c>
      <c r="BO8" s="46">
        <f>ZZZ__FnCalls!A67</f>
        <v>42005</v>
      </c>
      <c r="BP8" s="46">
        <f>ZZZ__FnCalls!A68</f>
        <v>42036</v>
      </c>
      <c r="BQ8" s="46">
        <f>ZZZ__FnCalls!A69</f>
        <v>42064</v>
      </c>
      <c r="BR8" s="46">
        <f>ZZZ__FnCalls!A70</f>
        <v>42095</v>
      </c>
      <c r="BS8" s="46">
        <f>ZZZ__FnCalls!A71</f>
        <v>42125</v>
      </c>
      <c r="BT8" s="46">
        <f>ZZZ__FnCalls!A72</f>
        <v>42156</v>
      </c>
      <c r="BU8" s="46">
        <f>ZZZ__FnCalls!A73</f>
        <v>42186</v>
      </c>
      <c r="BV8" s="46">
        <f>ZZZ__FnCalls!A74</f>
        <v>42217</v>
      </c>
      <c r="BW8" s="46">
        <f>ZZZ__FnCalls!A75</f>
        <v>42248</v>
      </c>
      <c r="BX8" s="46">
        <f>ZZZ__FnCalls!A76</f>
        <v>42278</v>
      </c>
      <c r="BY8" s="46">
        <f>ZZZ__FnCalls!A77</f>
        <v>42309</v>
      </c>
      <c r="BZ8" s="46">
        <f>ZZZ__FnCalls!A78</f>
        <v>42339</v>
      </c>
      <c r="CA8" s="47">
        <f>ZZZ__FnCalls!A67</f>
        <v>42005</v>
      </c>
      <c r="CB8" s="46">
        <f>ZZZ__FnCalls!A79</f>
        <v>42370</v>
      </c>
      <c r="CC8" s="46">
        <f>ZZZ__FnCalls!A80</f>
        <v>42401</v>
      </c>
      <c r="CD8" s="46">
        <f>ZZZ__FnCalls!A81</f>
        <v>42430</v>
      </c>
      <c r="CE8" s="46">
        <f>ZZZ__FnCalls!A82</f>
        <v>42461</v>
      </c>
      <c r="CF8" s="46">
        <f>ZZZ__FnCalls!A83</f>
        <v>42491</v>
      </c>
      <c r="CG8" s="46">
        <f>ZZZ__FnCalls!A84</f>
        <v>42522</v>
      </c>
      <c r="CH8" s="46">
        <f>ZZZ__FnCalls!A85</f>
        <v>42552</v>
      </c>
      <c r="CI8" s="46">
        <f>ZZZ__FnCalls!A86</f>
        <v>42583</v>
      </c>
      <c r="CJ8" s="46">
        <f>ZZZ__FnCalls!A87</f>
        <v>42614</v>
      </c>
      <c r="CK8" s="46">
        <f>ZZZ__FnCalls!A88</f>
        <v>42644</v>
      </c>
      <c r="CL8" s="46">
        <f>ZZZ__FnCalls!A89</f>
        <v>42675</v>
      </c>
      <c r="CM8" s="46">
        <f>ZZZ__FnCalls!A90</f>
        <v>42705</v>
      </c>
      <c r="CN8" s="47">
        <f>ZZZ__FnCalls!A79</f>
        <v>42370</v>
      </c>
      <c r="CO8" s="46">
        <f>ZZZ__FnCalls!A91</f>
        <v>42736</v>
      </c>
      <c r="CP8" s="46">
        <f>ZZZ__FnCalls!A92</f>
        <v>42767</v>
      </c>
      <c r="CQ8" s="46">
        <f>ZZZ__FnCalls!A93</f>
        <v>42795</v>
      </c>
      <c r="CR8" s="46">
        <f>ZZZ__FnCalls!A94</f>
        <v>42826</v>
      </c>
      <c r="CS8" s="46">
        <f>ZZZ__FnCalls!A95</f>
        <v>42856</v>
      </c>
      <c r="CT8" s="46">
        <f>ZZZ__FnCalls!A96</f>
        <v>42887</v>
      </c>
      <c r="CU8" s="46">
        <f>ZZZ__FnCalls!A97</f>
        <v>42917</v>
      </c>
      <c r="CV8" s="46">
        <f>ZZZ__FnCalls!A98</f>
        <v>42948</v>
      </c>
      <c r="CW8" s="46">
        <f>ZZZ__FnCalls!A99</f>
        <v>42979</v>
      </c>
      <c r="CX8" s="46">
        <f>ZZZ__FnCalls!A100</f>
        <v>43009</v>
      </c>
      <c r="CY8" s="46">
        <f>ZZZ__FnCalls!A101</f>
        <v>43040</v>
      </c>
      <c r="CZ8" s="46">
        <f>ZZZ__FnCalls!A102</f>
        <v>43070</v>
      </c>
      <c r="DA8" s="47">
        <f>ZZZ__FnCalls!A91</f>
        <v>42736</v>
      </c>
      <c r="DB8" s="46">
        <f>ZZZ__FnCalls!A103</f>
        <v>43101</v>
      </c>
      <c r="DC8" s="46">
        <f>ZZZ__FnCalls!A104</f>
        <v>43132</v>
      </c>
      <c r="DD8" s="46">
        <f>ZZZ__FnCalls!A105</f>
        <v>43160</v>
      </c>
      <c r="DE8" s="46">
        <f>ZZZ__FnCalls!A106</f>
        <v>43191</v>
      </c>
      <c r="DF8" s="46">
        <f>ZZZ__FnCalls!A107</f>
        <v>43221</v>
      </c>
      <c r="DG8" s="46">
        <f>ZZZ__FnCalls!A108</f>
        <v>43252</v>
      </c>
      <c r="DH8" s="46">
        <f>ZZZ__FnCalls!A109</f>
        <v>43282</v>
      </c>
      <c r="DI8" s="46">
        <f>ZZZ__FnCalls!A110</f>
        <v>43313</v>
      </c>
      <c r="DJ8" s="46">
        <f>ZZZ__FnCalls!A111</f>
        <v>43344</v>
      </c>
      <c r="DK8" s="46">
        <f>ZZZ__FnCalls!A112</f>
        <v>43374</v>
      </c>
      <c r="DL8" s="46">
        <f>ZZZ__FnCalls!A113</f>
        <v>43405</v>
      </c>
      <c r="DM8" s="46">
        <f>ZZZ__FnCalls!A114</f>
        <v>43435</v>
      </c>
      <c r="DN8" s="47">
        <f>ZZZ__FnCalls!A103</f>
        <v>43101</v>
      </c>
      <c r="DO8" s="46">
        <f>ZZZ__FnCalls!A115</f>
        <v>43466</v>
      </c>
      <c r="DP8" s="46">
        <f>ZZZ__FnCalls!A116</f>
        <v>43497</v>
      </c>
      <c r="DQ8" s="46">
        <f>ZZZ__FnCalls!A117</f>
        <v>43525</v>
      </c>
      <c r="DR8" s="46">
        <f>ZZZ__FnCalls!A118</f>
        <v>43556</v>
      </c>
      <c r="DS8" s="46">
        <f>ZZZ__FnCalls!A119</f>
        <v>43586</v>
      </c>
      <c r="DT8" s="46">
        <f>ZZZ__FnCalls!A120</f>
        <v>43617</v>
      </c>
      <c r="DU8" s="46">
        <f>ZZZ__FnCalls!A121</f>
        <v>43647</v>
      </c>
      <c r="DV8" s="46">
        <f>ZZZ__FnCalls!A122</f>
        <v>43678</v>
      </c>
      <c r="DW8" s="46">
        <f>ZZZ__FnCalls!A123</f>
        <v>43709</v>
      </c>
      <c r="DX8" s="46">
        <f>ZZZ__FnCalls!A124</f>
        <v>43739</v>
      </c>
      <c r="DY8" s="46">
        <f>ZZZ__FnCalls!A125</f>
        <v>43770</v>
      </c>
      <c r="DZ8" s="46">
        <f>ZZZ__FnCalls!A126</f>
        <v>43800</v>
      </c>
      <c r="EA8" s="47">
        <f>ZZZ__FnCalls!A115</f>
        <v>43466</v>
      </c>
      <c r="EB8" s="46">
        <f>ZZZ__FnCalls!A127</f>
        <v>43831</v>
      </c>
      <c r="EC8" s="46">
        <f>ZZZ__FnCalls!A128</f>
        <v>43862</v>
      </c>
      <c r="ED8" s="46">
        <f>ZZZ__FnCalls!A129</f>
        <v>43891</v>
      </c>
      <c r="EE8" s="46">
        <f>ZZZ__FnCalls!A130</f>
        <v>43922</v>
      </c>
      <c r="EF8" s="46">
        <f>ZZZ__FnCalls!A131</f>
        <v>43952</v>
      </c>
      <c r="EG8" s="46">
        <f>ZZZ__FnCalls!A132</f>
        <v>43983</v>
      </c>
      <c r="EH8" s="46">
        <f>ZZZ__FnCalls!A133</f>
        <v>44013</v>
      </c>
      <c r="EI8" s="46">
        <f>ZZZ__FnCalls!A134</f>
        <v>44044</v>
      </c>
      <c r="EJ8" s="46">
        <f>ZZZ__FnCalls!A135</f>
        <v>44075</v>
      </c>
      <c r="EK8" s="46">
        <f>ZZZ__FnCalls!A136</f>
        <v>44105</v>
      </c>
      <c r="EL8" s="46">
        <f>ZZZ__FnCalls!A137</f>
        <v>44136</v>
      </c>
      <c r="EM8" s="46">
        <f>ZZZ__FnCalls!A138</f>
        <v>44166</v>
      </c>
      <c r="EN8" s="47">
        <f>ZZZ__FnCalls!A127</f>
        <v>43831</v>
      </c>
    </row>
    <row r="9" spans="1:144" ht="12.75" customHeight="1" x14ac:dyDescent="0.2">
      <c r="A9" s="2" t="str">
        <f>"Demand_Aggregate_2"</f>
        <v>Demand_Aggregate_2</v>
      </c>
    </row>
    <row r="10" spans="1:144" ht="12.75" customHeight="1" x14ac:dyDescent="0.2">
      <c r="B10" s="19" t="str">
        <f>ZZZ__FnCalls!F7</f>
        <v>MMM 2010</v>
      </c>
      <c r="C10" s="20" t="str">
        <f>ZZZ__FnCalls!F8</f>
        <v>MMM 2010</v>
      </c>
      <c r="D10" s="20" t="str">
        <f>ZZZ__FnCalls!F9</f>
        <v>MMM 2010</v>
      </c>
      <c r="E10" s="20" t="str">
        <f>ZZZ__FnCalls!F10</f>
        <v>MMM 2010</v>
      </c>
      <c r="F10" s="20" t="str">
        <f>ZZZ__FnCalls!F11</f>
        <v>MMM 2010</v>
      </c>
      <c r="G10" s="20" t="str">
        <f>ZZZ__FnCalls!F12</f>
        <v>MMM 2010</v>
      </c>
      <c r="H10" s="20" t="str">
        <f>ZZZ__FnCalls!F13</f>
        <v>MMM 2010</v>
      </c>
      <c r="I10" s="20" t="str">
        <f>ZZZ__FnCalls!F14</f>
        <v>MMM 2010</v>
      </c>
      <c r="J10" s="20" t="str">
        <f>ZZZ__FnCalls!F15</f>
        <v>MMM 2010</v>
      </c>
      <c r="K10" s="20" t="str">
        <f>ZZZ__FnCalls!F16</f>
        <v>MMM 2010</v>
      </c>
      <c r="L10" s="20" t="str">
        <f>ZZZ__FnCalls!F17</f>
        <v>MMM 2010</v>
      </c>
      <c r="M10" s="20" t="str">
        <f>ZZZ__FnCalls!F18</f>
        <v>MMM 2010</v>
      </c>
      <c r="N10" s="21" t="str">
        <f>ZZZ__FnCalls!H7</f>
        <v>2010</v>
      </c>
      <c r="O10" s="20" t="str">
        <f>ZZZ__FnCalls!F19</f>
        <v>MMM 2011</v>
      </c>
      <c r="P10" s="20" t="str">
        <f>ZZZ__FnCalls!F20</f>
        <v>MMM 2011</v>
      </c>
      <c r="Q10" s="20" t="str">
        <f>ZZZ__FnCalls!F21</f>
        <v>MMM 2011</v>
      </c>
      <c r="R10" s="20" t="str">
        <f>ZZZ__FnCalls!F22</f>
        <v>MMM 2011</v>
      </c>
      <c r="S10" s="20" t="str">
        <f>ZZZ__FnCalls!F23</f>
        <v>MMM 2011</v>
      </c>
      <c r="T10" s="20" t="str">
        <f>ZZZ__FnCalls!F24</f>
        <v>MMM 2011</v>
      </c>
      <c r="U10" s="20" t="str">
        <f>ZZZ__FnCalls!F25</f>
        <v>MMM 2011</v>
      </c>
      <c r="V10" s="20" t="str">
        <f>ZZZ__FnCalls!F26</f>
        <v>MMM 2011</v>
      </c>
      <c r="W10" s="20" t="str">
        <f>ZZZ__FnCalls!F27</f>
        <v>MMM 2011</v>
      </c>
      <c r="X10" s="20" t="str">
        <f>ZZZ__FnCalls!F28</f>
        <v>MMM 2011</v>
      </c>
      <c r="Y10" s="20" t="str">
        <f>ZZZ__FnCalls!F29</f>
        <v>MMM 2011</v>
      </c>
      <c r="Z10" s="20" t="str">
        <f>ZZZ__FnCalls!F30</f>
        <v>MMM 2011</v>
      </c>
      <c r="AA10" s="21" t="str">
        <f>ZZZ__FnCalls!H19</f>
        <v>2011</v>
      </c>
      <c r="AB10" s="20" t="str">
        <f>ZZZ__FnCalls!F31</f>
        <v>MMM 2012</v>
      </c>
      <c r="AC10" s="20" t="str">
        <f>ZZZ__FnCalls!F32</f>
        <v>MMM 2012</v>
      </c>
      <c r="AD10" s="20" t="str">
        <f>ZZZ__FnCalls!F33</f>
        <v>MMM 2012</v>
      </c>
      <c r="AE10" s="20" t="str">
        <f>ZZZ__FnCalls!F34</f>
        <v>MMM 2012</v>
      </c>
      <c r="AF10" s="20" t="str">
        <f>ZZZ__FnCalls!F35</f>
        <v>MMM 2012</v>
      </c>
      <c r="AG10" s="20" t="str">
        <f>ZZZ__FnCalls!F36</f>
        <v>MMM 2012</v>
      </c>
      <c r="AH10" s="20" t="str">
        <f>ZZZ__FnCalls!F37</f>
        <v>MMM 2012</v>
      </c>
      <c r="AI10" s="20" t="str">
        <f>ZZZ__FnCalls!F38</f>
        <v>MMM 2012</v>
      </c>
      <c r="AJ10" s="20" t="str">
        <f>ZZZ__FnCalls!F39</f>
        <v>MMM 2012</v>
      </c>
      <c r="AK10" s="20" t="str">
        <f>ZZZ__FnCalls!F40</f>
        <v>MMM 2012</v>
      </c>
      <c r="AL10" s="20" t="str">
        <f>ZZZ__FnCalls!F41</f>
        <v>MMM 2012</v>
      </c>
      <c r="AM10" s="20" t="str">
        <f>ZZZ__FnCalls!F42</f>
        <v>MMM 2012</v>
      </c>
      <c r="AN10" s="21" t="str">
        <f>ZZZ__FnCalls!H31</f>
        <v>2012</v>
      </c>
      <c r="AO10" s="20" t="str">
        <f>ZZZ__FnCalls!F43</f>
        <v>MMM 2013</v>
      </c>
      <c r="AP10" s="20" t="str">
        <f>ZZZ__FnCalls!F44</f>
        <v>MMM 2013</v>
      </c>
      <c r="AQ10" s="20" t="str">
        <f>ZZZ__FnCalls!F45</f>
        <v>MMM 2013</v>
      </c>
      <c r="AR10" s="20" t="str">
        <f>ZZZ__FnCalls!F46</f>
        <v>MMM 2013</v>
      </c>
      <c r="AS10" s="20" t="str">
        <f>ZZZ__FnCalls!F47</f>
        <v>MMM 2013</v>
      </c>
      <c r="AT10" s="20" t="str">
        <f>ZZZ__FnCalls!F48</f>
        <v>MMM 2013</v>
      </c>
      <c r="AU10" s="20" t="str">
        <f>ZZZ__FnCalls!F49</f>
        <v>MMM 2013</v>
      </c>
      <c r="AV10" s="20" t="str">
        <f>ZZZ__FnCalls!F50</f>
        <v>MMM 2013</v>
      </c>
      <c r="AW10" s="20" t="str">
        <f>ZZZ__FnCalls!F51</f>
        <v>MMM 2013</v>
      </c>
      <c r="AX10" s="20" t="str">
        <f>ZZZ__FnCalls!F52</f>
        <v>MMM 2013</v>
      </c>
      <c r="AY10" s="20" t="str">
        <f>ZZZ__FnCalls!F53</f>
        <v>MMM 2013</v>
      </c>
      <c r="AZ10" s="20" t="str">
        <f>ZZZ__FnCalls!F54</f>
        <v>MMM 2013</v>
      </c>
      <c r="BA10" s="21" t="str">
        <f>ZZZ__FnCalls!H43</f>
        <v>2013</v>
      </c>
      <c r="BB10" s="20" t="str">
        <f>ZZZ__FnCalls!F55</f>
        <v>MMM 2014</v>
      </c>
      <c r="BC10" s="20" t="str">
        <f>ZZZ__FnCalls!F56</f>
        <v>MMM 2014</v>
      </c>
      <c r="BD10" s="20" t="str">
        <f>ZZZ__FnCalls!F57</f>
        <v>MMM 2014</v>
      </c>
      <c r="BE10" s="20" t="str">
        <f>ZZZ__FnCalls!F58</f>
        <v>MMM 2014</v>
      </c>
      <c r="BF10" s="20" t="str">
        <f>ZZZ__FnCalls!F59</f>
        <v>MMM 2014</v>
      </c>
      <c r="BG10" s="20" t="str">
        <f>ZZZ__FnCalls!F60</f>
        <v>MMM 2014</v>
      </c>
      <c r="BH10" s="20" t="str">
        <f>ZZZ__FnCalls!F61</f>
        <v>MMM 2014</v>
      </c>
      <c r="BI10" s="20" t="str">
        <f>ZZZ__FnCalls!F62</f>
        <v>MMM 2014</v>
      </c>
      <c r="BJ10" s="20" t="str">
        <f>ZZZ__FnCalls!F63</f>
        <v>MMM 2014</v>
      </c>
      <c r="BK10" s="20" t="str">
        <f>ZZZ__FnCalls!F64</f>
        <v>MMM 2014</v>
      </c>
      <c r="BL10" s="20" t="str">
        <f>ZZZ__FnCalls!F65</f>
        <v>MMM 2014</v>
      </c>
      <c r="BM10" s="20" t="str">
        <f>ZZZ__FnCalls!F66</f>
        <v>MMM 2014</v>
      </c>
      <c r="BN10" s="21" t="str">
        <f>ZZZ__FnCalls!H55</f>
        <v>2014</v>
      </c>
      <c r="BO10" s="20" t="str">
        <f>ZZZ__FnCalls!F67</f>
        <v>MMM 2015</v>
      </c>
      <c r="BP10" s="20" t="str">
        <f>ZZZ__FnCalls!F68</f>
        <v>MMM 2015</v>
      </c>
      <c r="BQ10" s="20" t="str">
        <f>ZZZ__FnCalls!F69</f>
        <v>MMM 2015</v>
      </c>
      <c r="BR10" s="20" t="str">
        <f>ZZZ__FnCalls!F70</f>
        <v>MMM 2015</v>
      </c>
      <c r="BS10" s="20" t="str">
        <f>ZZZ__FnCalls!F71</f>
        <v>MMM 2015</v>
      </c>
      <c r="BT10" s="20" t="str">
        <f>ZZZ__FnCalls!F72</f>
        <v>MMM 2015</v>
      </c>
      <c r="BU10" s="20" t="str">
        <f>ZZZ__FnCalls!F73</f>
        <v>MMM 2015</v>
      </c>
      <c r="BV10" s="20" t="str">
        <f>ZZZ__FnCalls!F74</f>
        <v>MMM 2015</v>
      </c>
      <c r="BW10" s="20" t="str">
        <f>ZZZ__FnCalls!F75</f>
        <v>MMM 2015</v>
      </c>
      <c r="BX10" s="20" t="str">
        <f>ZZZ__FnCalls!F76</f>
        <v>MMM 2015</v>
      </c>
      <c r="BY10" s="20" t="str">
        <f>ZZZ__FnCalls!F77</f>
        <v>MMM 2015</v>
      </c>
      <c r="BZ10" s="20" t="str">
        <f>ZZZ__FnCalls!F78</f>
        <v>MMM 2015</v>
      </c>
      <c r="CA10" s="21" t="str">
        <f>ZZZ__FnCalls!H67</f>
        <v>2015</v>
      </c>
      <c r="CB10" s="20" t="str">
        <f>ZZZ__FnCalls!F79</f>
        <v>MMM 2016</v>
      </c>
      <c r="CC10" s="20" t="str">
        <f>ZZZ__FnCalls!F80</f>
        <v>MMM 2016</v>
      </c>
      <c r="CD10" s="20" t="str">
        <f>ZZZ__FnCalls!F81</f>
        <v>MMM 2016</v>
      </c>
      <c r="CE10" s="20" t="str">
        <f>ZZZ__FnCalls!F82</f>
        <v>MMM 2016</v>
      </c>
      <c r="CF10" s="20" t="str">
        <f>ZZZ__FnCalls!F83</f>
        <v>MMM 2016</v>
      </c>
      <c r="CG10" s="20" t="str">
        <f>ZZZ__FnCalls!F84</f>
        <v>MMM 2016</v>
      </c>
      <c r="CH10" s="20" t="str">
        <f>ZZZ__FnCalls!F85</f>
        <v>MMM 2016</v>
      </c>
      <c r="CI10" s="20" t="str">
        <f>ZZZ__FnCalls!F86</f>
        <v>MMM 2016</v>
      </c>
      <c r="CJ10" s="20" t="str">
        <f>ZZZ__FnCalls!F87</f>
        <v>MMM 2016</v>
      </c>
      <c r="CK10" s="20" t="str">
        <f>ZZZ__FnCalls!F88</f>
        <v>MMM 2016</v>
      </c>
      <c r="CL10" s="20" t="str">
        <f>ZZZ__FnCalls!F89</f>
        <v>MMM 2016</v>
      </c>
      <c r="CM10" s="20" t="str">
        <f>ZZZ__FnCalls!F90</f>
        <v>MMM 2016</v>
      </c>
      <c r="CN10" s="21" t="str">
        <f>ZZZ__FnCalls!H79</f>
        <v>2016</v>
      </c>
      <c r="CO10" s="20" t="str">
        <f>ZZZ__FnCalls!F91</f>
        <v>MMM 2017</v>
      </c>
      <c r="CP10" s="20" t="str">
        <f>ZZZ__FnCalls!F92</f>
        <v>MMM 2017</v>
      </c>
      <c r="CQ10" s="20" t="str">
        <f>ZZZ__FnCalls!F93</f>
        <v>MMM 2017</v>
      </c>
      <c r="CR10" s="20" t="str">
        <f>ZZZ__FnCalls!F94</f>
        <v>MMM 2017</v>
      </c>
      <c r="CS10" s="20" t="str">
        <f>ZZZ__FnCalls!F95</f>
        <v>MMM 2017</v>
      </c>
      <c r="CT10" s="20" t="str">
        <f>ZZZ__FnCalls!F96</f>
        <v>MMM 2017</v>
      </c>
      <c r="CU10" s="20" t="str">
        <f>ZZZ__FnCalls!F97</f>
        <v>MMM 2017</v>
      </c>
      <c r="CV10" s="20" t="str">
        <f>ZZZ__FnCalls!F98</f>
        <v>MMM 2017</v>
      </c>
      <c r="CW10" s="20" t="str">
        <f>ZZZ__FnCalls!F99</f>
        <v>MMM 2017</v>
      </c>
      <c r="CX10" s="20" t="str">
        <f>ZZZ__FnCalls!F100</f>
        <v>MMM 2017</v>
      </c>
      <c r="CY10" s="20" t="str">
        <f>ZZZ__FnCalls!F101</f>
        <v>MMM 2017</v>
      </c>
      <c r="CZ10" s="20" t="str">
        <f>ZZZ__FnCalls!F102</f>
        <v>MMM 2017</v>
      </c>
      <c r="DA10" s="21" t="str">
        <f>ZZZ__FnCalls!H91</f>
        <v>2017</v>
      </c>
      <c r="DB10" s="20" t="str">
        <f>ZZZ__FnCalls!F103</f>
        <v>MMM 2018</v>
      </c>
      <c r="DC10" s="20" t="str">
        <f>ZZZ__FnCalls!F104</f>
        <v>MMM 2018</v>
      </c>
      <c r="DD10" s="20" t="str">
        <f>ZZZ__FnCalls!F105</f>
        <v>MMM 2018</v>
      </c>
      <c r="DE10" s="20" t="str">
        <f>ZZZ__FnCalls!F106</f>
        <v>MMM 2018</v>
      </c>
      <c r="DF10" s="20" t="str">
        <f>ZZZ__FnCalls!F107</f>
        <v>MMM 2018</v>
      </c>
      <c r="DG10" s="20" t="str">
        <f>ZZZ__FnCalls!F108</f>
        <v>MMM 2018</v>
      </c>
      <c r="DH10" s="20" t="str">
        <f>ZZZ__FnCalls!F109</f>
        <v>MMM 2018</v>
      </c>
      <c r="DI10" s="20" t="str">
        <f>ZZZ__FnCalls!F110</f>
        <v>MMM 2018</v>
      </c>
      <c r="DJ10" s="20" t="str">
        <f>ZZZ__FnCalls!F111</f>
        <v>MMM 2018</v>
      </c>
      <c r="DK10" s="20" t="str">
        <f>ZZZ__FnCalls!F112</f>
        <v>MMM 2018</v>
      </c>
      <c r="DL10" s="20" t="str">
        <f>ZZZ__FnCalls!F113</f>
        <v>MMM 2018</v>
      </c>
      <c r="DM10" s="20" t="str">
        <f>ZZZ__FnCalls!F114</f>
        <v>MMM 2018</v>
      </c>
      <c r="DN10" s="21" t="str">
        <f>ZZZ__FnCalls!H103</f>
        <v>2018</v>
      </c>
      <c r="DO10" s="20" t="str">
        <f>ZZZ__FnCalls!F115</f>
        <v>MMM 2019</v>
      </c>
      <c r="DP10" s="20" t="str">
        <f>ZZZ__FnCalls!F116</f>
        <v>MMM 2019</v>
      </c>
      <c r="DQ10" s="20" t="str">
        <f>ZZZ__FnCalls!F117</f>
        <v>MMM 2019</v>
      </c>
      <c r="DR10" s="20" t="str">
        <f>ZZZ__FnCalls!F118</f>
        <v>MMM 2019</v>
      </c>
      <c r="DS10" s="20" t="str">
        <f>ZZZ__FnCalls!F119</f>
        <v>MMM 2019</v>
      </c>
      <c r="DT10" s="20" t="str">
        <f>ZZZ__FnCalls!F120</f>
        <v>MMM 2019</v>
      </c>
      <c r="DU10" s="20" t="str">
        <f>ZZZ__FnCalls!F121</f>
        <v>MMM 2019</v>
      </c>
      <c r="DV10" s="20" t="str">
        <f>ZZZ__FnCalls!F122</f>
        <v>MMM 2019</v>
      </c>
      <c r="DW10" s="20" t="str">
        <f>ZZZ__FnCalls!F123</f>
        <v>MMM 2019</v>
      </c>
      <c r="DX10" s="20" t="str">
        <f>ZZZ__FnCalls!F124</f>
        <v>MMM 2019</v>
      </c>
      <c r="DY10" s="20" t="str">
        <f>ZZZ__FnCalls!F125</f>
        <v>MMM 2019</v>
      </c>
      <c r="DZ10" s="20" t="str">
        <f>ZZZ__FnCalls!F126</f>
        <v>MMM 2019</v>
      </c>
      <c r="EA10" s="21" t="str">
        <f>ZZZ__FnCalls!H115</f>
        <v>2019</v>
      </c>
      <c r="EB10" s="20" t="str">
        <f>ZZZ__FnCalls!F127</f>
        <v>MMM 2020</v>
      </c>
      <c r="EC10" s="20" t="str">
        <f>ZZZ__FnCalls!F128</f>
        <v>MMM 2020</v>
      </c>
      <c r="ED10" s="20" t="str">
        <f>ZZZ__FnCalls!F129</f>
        <v>MMM 2020</v>
      </c>
      <c r="EE10" s="20" t="str">
        <f>ZZZ__FnCalls!F130</f>
        <v>MMM 2020</v>
      </c>
      <c r="EF10" s="20" t="str">
        <f>ZZZ__FnCalls!F131</f>
        <v>MMM 2020</v>
      </c>
      <c r="EG10" s="20" t="str">
        <f>ZZZ__FnCalls!F132</f>
        <v>MMM 2020</v>
      </c>
      <c r="EH10" s="20" t="str">
        <f>ZZZ__FnCalls!F133</f>
        <v>MMM 2020</v>
      </c>
      <c r="EI10" s="20" t="str">
        <f>ZZZ__FnCalls!F134</f>
        <v>MMM 2020</v>
      </c>
      <c r="EJ10" s="20" t="str">
        <f>ZZZ__FnCalls!F135</f>
        <v>MMM 2020</v>
      </c>
      <c r="EK10" s="20" t="str">
        <f>ZZZ__FnCalls!F136</f>
        <v>MMM 2020</v>
      </c>
      <c r="EL10" s="20" t="str">
        <f>ZZZ__FnCalls!F137</f>
        <v>MMM 2020</v>
      </c>
      <c r="EM10" s="20" t="str">
        <f>ZZZ__FnCalls!F138</f>
        <v>MMM 2020</v>
      </c>
      <c r="EN10" s="21" t="str">
        <f>ZZZ__FnCalls!H127</f>
        <v>2020</v>
      </c>
    </row>
    <row r="11" spans="1:144" ht="12.75" customHeight="1" x14ac:dyDescent="0.2">
      <c r="A11" s="5"/>
      <c r="B11" s="46" t="str">
        <f>ZZZ__FnCalls!F7</f>
        <v>MMM 2010</v>
      </c>
      <c r="C11" s="46" t="str">
        <f>ZZZ__FnCalls!F8</f>
        <v>MMM 2010</v>
      </c>
      <c r="D11" s="46" t="str">
        <f>ZZZ__FnCalls!F9</f>
        <v>MMM 2010</v>
      </c>
      <c r="E11" s="46" t="str">
        <f>ZZZ__FnCalls!F10</f>
        <v>MMM 2010</v>
      </c>
      <c r="F11" s="46" t="str">
        <f>ZZZ__FnCalls!F11</f>
        <v>MMM 2010</v>
      </c>
      <c r="G11" s="46" t="str">
        <f>ZZZ__FnCalls!F12</f>
        <v>MMM 2010</v>
      </c>
      <c r="H11" s="46" t="str">
        <f>ZZZ__FnCalls!F13</f>
        <v>MMM 2010</v>
      </c>
      <c r="I11" s="46" t="str">
        <f>ZZZ__FnCalls!F14</f>
        <v>MMM 2010</v>
      </c>
      <c r="J11" s="46" t="str">
        <f>ZZZ__FnCalls!F15</f>
        <v>MMM 2010</v>
      </c>
      <c r="K11" s="46" t="str">
        <f>ZZZ__FnCalls!F16</f>
        <v>MMM 2010</v>
      </c>
      <c r="L11" s="46" t="str">
        <f>ZZZ__FnCalls!F17</f>
        <v>MMM 2010</v>
      </c>
      <c r="M11" s="46" t="str">
        <f>ZZZ__FnCalls!F18</f>
        <v>MMM 2010</v>
      </c>
      <c r="N11" s="47" t="str">
        <f>ZZZ__FnCalls!F7</f>
        <v>MMM 2010</v>
      </c>
      <c r="O11" s="46" t="str">
        <f>ZZZ__FnCalls!F19</f>
        <v>MMM 2011</v>
      </c>
      <c r="P11" s="46" t="str">
        <f>ZZZ__FnCalls!F20</f>
        <v>MMM 2011</v>
      </c>
      <c r="Q11" s="46" t="str">
        <f>ZZZ__FnCalls!F21</f>
        <v>MMM 2011</v>
      </c>
      <c r="R11" s="46" t="str">
        <f>ZZZ__FnCalls!F22</f>
        <v>MMM 2011</v>
      </c>
      <c r="S11" s="46" t="str">
        <f>ZZZ__FnCalls!F23</f>
        <v>MMM 2011</v>
      </c>
      <c r="T11" s="46" t="str">
        <f>ZZZ__FnCalls!F24</f>
        <v>MMM 2011</v>
      </c>
      <c r="U11" s="46" t="str">
        <f>ZZZ__FnCalls!F25</f>
        <v>MMM 2011</v>
      </c>
      <c r="V11" s="46" t="str">
        <f>ZZZ__FnCalls!F26</f>
        <v>MMM 2011</v>
      </c>
      <c r="W11" s="46" t="str">
        <f>ZZZ__FnCalls!F27</f>
        <v>MMM 2011</v>
      </c>
      <c r="X11" s="46" t="str">
        <f>ZZZ__FnCalls!F28</f>
        <v>MMM 2011</v>
      </c>
      <c r="Y11" s="46" t="str">
        <f>ZZZ__FnCalls!F29</f>
        <v>MMM 2011</v>
      </c>
      <c r="Z11" s="46" t="str">
        <f>ZZZ__FnCalls!F30</f>
        <v>MMM 2011</v>
      </c>
      <c r="AA11" s="47" t="str">
        <f>ZZZ__FnCalls!F19</f>
        <v>MMM 2011</v>
      </c>
      <c r="AB11" s="46" t="str">
        <f>ZZZ__FnCalls!F31</f>
        <v>MMM 2012</v>
      </c>
      <c r="AC11" s="46" t="str">
        <f>ZZZ__FnCalls!F32</f>
        <v>MMM 2012</v>
      </c>
      <c r="AD11" s="46" t="str">
        <f>ZZZ__FnCalls!F33</f>
        <v>MMM 2012</v>
      </c>
      <c r="AE11" s="46" t="str">
        <f>ZZZ__FnCalls!F34</f>
        <v>MMM 2012</v>
      </c>
      <c r="AF11" s="46" t="str">
        <f>ZZZ__FnCalls!F35</f>
        <v>MMM 2012</v>
      </c>
      <c r="AG11" s="46" t="str">
        <f>ZZZ__FnCalls!F36</f>
        <v>MMM 2012</v>
      </c>
      <c r="AH11" s="46" t="str">
        <f>ZZZ__FnCalls!F37</f>
        <v>MMM 2012</v>
      </c>
      <c r="AI11" s="46" t="str">
        <f>ZZZ__FnCalls!F38</f>
        <v>MMM 2012</v>
      </c>
      <c r="AJ11" s="46" t="str">
        <f>ZZZ__FnCalls!F39</f>
        <v>MMM 2012</v>
      </c>
      <c r="AK11" s="46" t="str">
        <f>ZZZ__FnCalls!F40</f>
        <v>MMM 2012</v>
      </c>
      <c r="AL11" s="46" t="str">
        <f>ZZZ__FnCalls!F41</f>
        <v>MMM 2012</v>
      </c>
      <c r="AM11" s="46" t="str">
        <f>ZZZ__FnCalls!F42</f>
        <v>MMM 2012</v>
      </c>
      <c r="AN11" s="47" t="str">
        <f>ZZZ__FnCalls!F31</f>
        <v>MMM 2012</v>
      </c>
      <c r="AO11" s="46" t="str">
        <f>ZZZ__FnCalls!F43</f>
        <v>MMM 2013</v>
      </c>
      <c r="AP11" s="46" t="str">
        <f>ZZZ__FnCalls!F44</f>
        <v>MMM 2013</v>
      </c>
      <c r="AQ11" s="46" t="str">
        <f>ZZZ__FnCalls!F45</f>
        <v>MMM 2013</v>
      </c>
      <c r="AR11" s="46" t="str">
        <f>ZZZ__FnCalls!F46</f>
        <v>MMM 2013</v>
      </c>
      <c r="AS11" s="46" t="str">
        <f>ZZZ__FnCalls!F47</f>
        <v>MMM 2013</v>
      </c>
      <c r="AT11" s="46" t="str">
        <f>ZZZ__FnCalls!F48</f>
        <v>MMM 2013</v>
      </c>
      <c r="AU11" s="46" t="str">
        <f>ZZZ__FnCalls!F49</f>
        <v>MMM 2013</v>
      </c>
      <c r="AV11" s="46" t="str">
        <f>ZZZ__FnCalls!F50</f>
        <v>MMM 2013</v>
      </c>
      <c r="AW11" s="46" t="str">
        <f>ZZZ__FnCalls!F51</f>
        <v>MMM 2013</v>
      </c>
      <c r="AX11" s="46" t="str">
        <f>ZZZ__FnCalls!F52</f>
        <v>MMM 2013</v>
      </c>
      <c r="AY11" s="46" t="str">
        <f>ZZZ__FnCalls!F53</f>
        <v>MMM 2013</v>
      </c>
      <c r="AZ11" s="46" t="str">
        <f>ZZZ__FnCalls!F54</f>
        <v>MMM 2013</v>
      </c>
      <c r="BA11" s="47" t="str">
        <f>ZZZ__FnCalls!F43</f>
        <v>MMM 2013</v>
      </c>
      <c r="BB11" s="46" t="str">
        <f>ZZZ__FnCalls!F55</f>
        <v>MMM 2014</v>
      </c>
      <c r="BC11" s="46" t="str">
        <f>ZZZ__FnCalls!F56</f>
        <v>MMM 2014</v>
      </c>
      <c r="BD11" s="46" t="str">
        <f>ZZZ__FnCalls!F57</f>
        <v>MMM 2014</v>
      </c>
      <c r="BE11" s="46" t="str">
        <f>ZZZ__FnCalls!F58</f>
        <v>MMM 2014</v>
      </c>
      <c r="BF11" s="46" t="str">
        <f>ZZZ__FnCalls!F59</f>
        <v>MMM 2014</v>
      </c>
      <c r="BG11" s="46" t="str">
        <f>ZZZ__FnCalls!F60</f>
        <v>MMM 2014</v>
      </c>
      <c r="BH11" s="46" t="str">
        <f>ZZZ__FnCalls!F61</f>
        <v>MMM 2014</v>
      </c>
      <c r="BI11" s="46" t="str">
        <f>ZZZ__FnCalls!F62</f>
        <v>MMM 2014</v>
      </c>
      <c r="BJ11" s="46" t="str">
        <f>ZZZ__FnCalls!F63</f>
        <v>MMM 2014</v>
      </c>
      <c r="BK11" s="46" t="str">
        <f>ZZZ__FnCalls!F64</f>
        <v>MMM 2014</v>
      </c>
      <c r="BL11" s="46" t="str">
        <f>ZZZ__FnCalls!F65</f>
        <v>MMM 2014</v>
      </c>
      <c r="BM11" s="46" t="str">
        <f>ZZZ__FnCalls!F66</f>
        <v>MMM 2014</v>
      </c>
      <c r="BN11" s="47" t="str">
        <f>ZZZ__FnCalls!F55</f>
        <v>MMM 2014</v>
      </c>
      <c r="BO11" s="46" t="str">
        <f>ZZZ__FnCalls!F67</f>
        <v>MMM 2015</v>
      </c>
      <c r="BP11" s="46" t="str">
        <f>ZZZ__FnCalls!F68</f>
        <v>MMM 2015</v>
      </c>
      <c r="BQ11" s="46" t="str">
        <f>ZZZ__FnCalls!F69</f>
        <v>MMM 2015</v>
      </c>
      <c r="BR11" s="46" t="str">
        <f>ZZZ__FnCalls!F70</f>
        <v>MMM 2015</v>
      </c>
      <c r="BS11" s="46" t="str">
        <f>ZZZ__FnCalls!F71</f>
        <v>MMM 2015</v>
      </c>
      <c r="BT11" s="46" t="str">
        <f>ZZZ__FnCalls!F72</f>
        <v>MMM 2015</v>
      </c>
      <c r="BU11" s="46" t="str">
        <f>ZZZ__FnCalls!F73</f>
        <v>MMM 2015</v>
      </c>
      <c r="BV11" s="46" t="str">
        <f>ZZZ__FnCalls!F74</f>
        <v>MMM 2015</v>
      </c>
      <c r="BW11" s="46" t="str">
        <f>ZZZ__FnCalls!F75</f>
        <v>MMM 2015</v>
      </c>
      <c r="BX11" s="46" t="str">
        <f>ZZZ__FnCalls!F76</f>
        <v>MMM 2015</v>
      </c>
      <c r="BY11" s="46" t="str">
        <f>ZZZ__FnCalls!F77</f>
        <v>MMM 2015</v>
      </c>
      <c r="BZ11" s="46" t="str">
        <f>ZZZ__FnCalls!F78</f>
        <v>MMM 2015</v>
      </c>
      <c r="CA11" s="47" t="str">
        <f>ZZZ__FnCalls!F67</f>
        <v>MMM 2015</v>
      </c>
      <c r="CB11" s="46" t="str">
        <f>ZZZ__FnCalls!F79</f>
        <v>MMM 2016</v>
      </c>
      <c r="CC11" s="46" t="str">
        <f>ZZZ__FnCalls!F80</f>
        <v>MMM 2016</v>
      </c>
      <c r="CD11" s="46" t="str">
        <f>ZZZ__FnCalls!F81</f>
        <v>MMM 2016</v>
      </c>
      <c r="CE11" s="46" t="str">
        <f>ZZZ__FnCalls!F82</f>
        <v>MMM 2016</v>
      </c>
      <c r="CF11" s="46" t="str">
        <f>ZZZ__FnCalls!F83</f>
        <v>MMM 2016</v>
      </c>
      <c r="CG11" s="46" t="str">
        <f>ZZZ__FnCalls!F84</f>
        <v>MMM 2016</v>
      </c>
      <c r="CH11" s="46" t="str">
        <f>ZZZ__FnCalls!F85</f>
        <v>MMM 2016</v>
      </c>
      <c r="CI11" s="46" t="str">
        <f>ZZZ__FnCalls!F86</f>
        <v>MMM 2016</v>
      </c>
      <c r="CJ11" s="46" t="str">
        <f>ZZZ__FnCalls!F87</f>
        <v>MMM 2016</v>
      </c>
      <c r="CK11" s="46" t="str">
        <f>ZZZ__FnCalls!F88</f>
        <v>MMM 2016</v>
      </c>
      <c r="CL11" s="46" t="str">
        <f>ZZZ__FnCalls!F89</f>
        <v>MMM 2016</v>
      </c>
      <c r="CM11" s="46" t="str">
        <f>ZZZ__FnCalls!F90</f>
        <v>MMM 2016</v>
      </c>
      <c r="CN11" s="47" t="str">
        <f>ZZZ__FnCalls!F79</f>
        <v>MMM 2016</v>
      </c>
      <c r="CO11" s="46" t="str">
        <f>ZZZ__FnCalls!F91</f>
        <v>MMM 2017</v>
      </c>
      <c r="CP11" s="46" t="str">
        <f>ZZZ__FnCalls!F92</f>
        <v>MMM 2017</v>
      </c>
      <c r="CQ11" s="46" t="str">
        <f>ZZZ__FnCalls!F93</f>
        <v>MMM 2017</v>
      </c>
      <c r="CR11" s="46" t="str">
        <f>ZZZ__FnCalls!F94</f>
        <v>MMM 2017</v>
      </c>
      <c r="CS11" s="46" t="str">
        <f>ZZZ__FnCalls!F95</f>
        <v>MMM 2017</v>
      </c>
      <c r="CT11" s="46" t="str">
        <f>ZZZ__FnCalls!F96</f>
        <v>MMM 2017</v>
      </c>
      <c r="CU11" s="46" t="str">
        <f>ZZZ__FnCalls!F97</f>
        <v>MMM 2017</v>
      </c>
      <c r="CV11" s="46" t="str">
        <f>ZZZ__FnCalls!F98</f>
        <v>MMM 2017</v>
      </c>
      <c r="CW11" s="46" t="str">
        <f>ZZZ__FnCalls!F99</f>
        <v>MMM 2017</v>
      </c>
      <c r="CX11" s="46" t="str">
        <f>ZZZ__FnCalls!F100</f>
        <v>MMM 2017</v>
      </c>
      <c r="CY11" s="46" t="str">
        <f>ZZZ__FnCalls!F101</f>
        <v>MMM 2017</v>
      </c>
      <c r="CZ11" s="46" t="str">
        <f>ZZZ__FnCalls!F102</f>
        <v>MMM 2017</v>
      </c>
      <c r="DA11" s="47" t="str">
        <f>ZZZ__FnCalls!F91</f>
        <v>MMM 2017</v>
      </c>
      <c r="DB11" s="46" t="str">
        <f>ZZZ__FnCalls!F103</f>
        <v>MMM 2018</v>
      </c>
      <c r="DC11" s="46" t="str">
        <f>ZZZ__FnCalls!F104</f>
        <v>MMM 2018</v>
      </c>
      <c r="DD11" s="46" t="str">
        <f>ZZZ__FnCalls!F105</f>
        <v>MMM 2018</v>
      </c>
      <c r="DE11" s="46" t="str">
        <f>ZZZ__FnCalls!F106</f>
        <v>MMM 2018</v>
      </c>
      <c r="DF11" s="46" t="str">
        <f>ZZZ__FnCalls!F107</f>
        <v>MMM 2018</v>
      </c>
      <c r="DG11" s="46" t="str">
        <f>ZZZ__FnCalls!F108</f>
        <v>MMM 2018</v>
      </c>
      <c r="DH11" s="46" t="str">
        <f>ZZZ__FnCalls!F109</f>
        <v>MMM 2018</v>
      </c>
      <c r="DI11" s="46" t="str">
        <f>ZZZ__FnCalls!F110</f>
        <v>MMM 2018</v>
      </c>
      <c r="DJ11" s="46" t="str">
        <f>ZZZ__FnCalls!F111</f>
        <v>MMM 2018</v>
      </c>
      <c r="DK11" s="46" t="str">
        <f>ZZZ__FnCalls!F112</f>
        <v>MMM 2018</v>
      </c>
      <c r="DL11" s="46" t="str">
        <f>ZZZ__FnCalls!F113</f>
        <v>MMM 2018</v>
      </c>
      <c r="DM11" s="46" t="str">
        <f>ZZZ__FnCalls!F114</f>
        <v>MMM 2018</v>
      </c>
      <c r="DN11" s="47" t="str">
        <f>ZZZ__FnCalls!F103</f>
        <v>MMM 2018</v>
      </c>
      <c r="DO11" s="46" t="str">
        <f>ZZZ__FnCalls!F115</f>
        <v>MMM 2019</v>
      </c>
      <c r="DP11" s="46" t="str">
        <f>ZZZ__FnCalls!F116</f>
        <v>MMM 2019</v>
      </c>
      <c r="DQ11" s="46" t="str">
        <f>ZZZ__FnCalls!F117</f>
        <v>MMM 2019</v>
      </c>
      <c r="DR11" s="46" t="str">
        <f>ZZZ__FnCalls!F118</f>
        <v>MMM 2019</v>
      </c>
      <c r="DS11" s="46" t="str">
        <f>ZZZ__FnCalls!F119</f>
        <v>MMM 2019</v>
      </c>
      <c r="DT11" s="46" t="str">
        <f>ZZZ__FnCalls!F120</f>
        <v>MMM 2019</v>
      </c>
      <c r="DU11" s="46" t="str">
        <f>ZZZ__FnCalls!F121</f>
        <v>MMM 2019</v>
      </c>
      <c r="DV11" s="46" t="str">
        <f>ZZZ__FnCalls!F122</f>
        <v>MMM 2019</v>
      </c>
      <c r="DW11" s="46" t="str">
        <f>ZZZ__FnCalls!F123</f>
        <v>MMM 2019</v>
      </c>
      <c r="DX11" s="46" t="str">
        <f>ZZZ__FnCalls!F124</f>
        <v>MMM 2019</v>
      </c>
      <c r="DY11" s="46" t="str">
        <f>ZZZ__FnCalls!F125</f>
        <v>MMM 2019</v>
      </c>
      <c r="DZ11" s="46" t="str">
        <f>ZZZ__FnCalls!F126</f>
        <v>MMM 2019</v>
      </c>
      <c r="EA11" s="47" t="str">
        <f>ZZZ__FnCalls!F115</f>
        <v>MMM 2019</v>
      </c>
      <c r="EB11" s="46" t="str">
        <f>ZZZ__FnCalls!F127</f>
        <v>MMM 2020</v>
      </c>
      <c r="EC11" s="46" t="str">
        <f>ZZZ__FnCalls!F128</f>
        <v>MMM 2020</v>
      </c>
      <c r="ED11" s="46" t="str">
        <f>ZZZ__FnCalls!F129</f>
        <v>MMM 2020</v>
      </c>
      <c r="EE11" s="46" t="str">
        <f>ZZZ__FnCalls!F130</f>
        <v>MMM 2020</v>
      </c>
      <c r="EF11" s="46" t="str">
        <f>ZZZ__FnCalls!F131</f>
        <v>MMM 2020</v>
      </c>
      <c r="EG11" s="46" t="str">
        <f>ZZZ__FnCalls!F132</f>
        <v>MMM 2020</v>
      </c>
      <c r="EH11" s="46" t="str">
        <f>ZZZ__FnCalls!F133</f>
        <v>MMM 2020</v>
      </c>
      <c r="EI11" s="46" t="str">
        <f>ZZZ__FnCalls!F134</f>
        <v>MMM 2020</v>
      </c>
      <c r="EJ11" s="46" t="str">
        <f>ZZZ__FnCalls!F135</f>
        <v>MMM 2020</v>
      </c>
      <c r="EK11" s="46" t="str">
        <f>ZZZ__FnCalls!F136</f>
        <v>MMM 2020</v>
      </c>
      <c r="EL11" s="46" t="str">
        <f>ZZZ__FnCalls!F137</f>
        <v>MMM 2020</v>
      </c>
      <c r="EM11" s="46" t="str">
        <f>ZZZ__FnCalls!F138</f>
        <v>MMM 2020</v>
      </c>
      <c r="EN11" s="47" t="str">
        <f>ZZZ__FnCalls!F127</f>
        <v>MMM 2020</v>
      </c>
    </row>
    <row r="12" spans="1:144" ht="12.75" customHeight="1" x14ac:dyDescent="0.2">
      <c r="A12" s="2" t="str">
        <f>"Final_Sales_1"</f>
        <v>Final_Sales_1</v>
      </c>
    </row>
    <row r="13" spans="1:144" ht="12.75" customHeight="1" x14ac:dyDescent="0.2">
      <c r="B13" s="19" t="str">
        <f>ZZZ__FnCalls!F7</f>
        <v>MMM 2010</v>
      </c>
      <c r="C13" s="20" t="str">
        <f>ZZZ__FnCalls!F8</f>
        <v>MMM 2010</v>
      </c>
      <c r="D13" s="20" t="str">
        <f>ZZZ__FnCalls!F9</f>
        <v>MMM 2010</v>
      </c>
      <c r="E13" s="20" t="str">
        <f>ZZZ__FnCalls!F10</f>
        <v>MMM 2010</v>
      </c>
      <c r="F13" s="20" t="str">
        <f>ZZZ__FnCalls!F11</f>
        <v>MMM 2010</v>
      </c>
      <c r="G13" s="20" t="str">
        <f>ZZZ__FnCalls!F12</f>
        <v>MMM 2010</v>
      </c>
      <c r="H13" s="20" t="str">
        <f>ZZZ__FnCalls!F13</f>
        <v>MMM 2010</v>
      </c>
      <c r="I13" s="20" t="str">
        <f>ZZZ__FnCalls!F14</f>
        <v>MMM 2010</v>
      </c>
      <c r="J13" s="20" t="str">
        <f>ZZZ__FnCalls!F15</f>
        <v>MMM 2010</v>
      </c>
      <c r="K13" s="20" t="str">
        <f>ZZZ__FnCalls!F16</f>
        <v>MMM 2010</v>
      </c>
      <c r="L13" s="20" t="str">
        <f>ZZZ__FnCalls!F17</f>
        <v>MMM 2010</v>
      </c>
      <c r="M13" s="20" t="str">
        <f>ZZZ__FnCalls!F18</f>
        <v>MMM 2010</v>
      </c>
      <c r="N13" s="21" t="str">
        <f>ZZZ__FnCalls!H7</f>
        <v>2010</v>
      </c>
      <c r="O13" s="20" t="str">
        <f>ZZZ__FnCalls!F19</f>
        <v>MMM 2011</v>
      </c>
      <c r="P13" s="20" t="str">
        <f>ZZZ__FnCalls!F20</f>
        <v>MMM 2011</v>
      </c>
      <c r="Q13" s="20" t="str">
        <f>ZZZ__FnCalls!F21</f>
        <v>MMM 2011</v>
      </c>
      <c r="R13" s="20" t="str">
        <f>ZZZ__FnCalls!F22</f>
        <v>MMM 2011</v>
      </c>
      <c r="S13" s="20" t="str">
        <f>ZZZ__FnCalls!F23</f>
        <v>MMM 2011</v>
      </c>
      <c r="T13" s="20" t="str">
        <f>ZZZ__FnCalls!F24</f>
        <v>MMM 2011</v>
      </c>
      <c r="U13" s="20" t="str">
        <f>ZZZ__FnCalls!F25</f>
        <v>MMM 2011</v>
      </c>
      <c r="V13" s="20" t="str">
        <f>ZZZ__FnCalls!F26</f>
        <v>MMM 2011</v>
      </c>
      <c r="W13" s="20" t="str">
        <f>ZZZ__FnCalls!F27</f>
        <v>MMM 2011</v>
      </c>
      <c r="X13" s="20" t="str">
        <f>ZZZ__FnCalls!F28</f>
        <v>MMM 2011</v>
      </c>
      <c r="Y13" s="20" t="str">
        <f>ZZZ__FnCalls!F29</f>
        <v>MMM 2011</v>
      </c>
      <c r="Z13" s="20" t="str">
        <f>ZZZ__FnCalls!F30</f>
        <v>MMM 2011</v>
      </c>
      <c r="AA13" s="21" t="str">
        <f>ZZZ__FnCalls!H19</f>
        <v>2011</v>
      </c>
      <c r="AB13" s="20" t="str">
        <f>ZZZ__FnCalls!F31</f>
        <v>MMM 2012</v>
      </c>
      <c r="AC13" s="20" t="str">
        <f>ZZZ__FnCalls!F32</f>
        <v>MMM 2012</v>
      </c>
      <c r="AD13" s="20" t="str">
        <f>ZZZ__FnCalls!F33</f>
        <v>MMM 2012</v>
      </c>
      <c r="AE13" s="20" t="str">
        <f>ZZZ__FnCalls!F34</f>
        <v>MMM 2012</v>
      </c>
      <c r="AF13" s="20" t="str">
        <f>ZZZ__FnCalls!F35</f>
        <v>MMM 2012</v>
      </c>
      <c r="AG13" s="20" t="str">
        <f>ZZZ__FnCalls!F36</f>
        <v>MMM 2012</v>
      </c>
      <c r="AH13" s="20" t="str">
        <f>ZZZ__FnCalls!F37</f>
        <v>MMM 2012</v>
      </c>
      <c r="AI13" s="20" t="str">
        <f>ZZZ__FnCalls!F38</f>
        <v>MMM 2012</v>
      </c>
      <c r="AJ13" s="20" t="str">
        <f>ZZZ__FnCalls!F39</f>
        <v>MMM 2012</v>
      </c>
      <c r="AK13" s="20" t="str">
        <f>ZZZ__FnCalls!F40</f>
        <v>MMM 2012</v>
      </c>
      <c r="AL13" s="20" t="str">
        <f>ZZZ__FnCalls!F41</f>
        <v>MMM 2012</v>
      </c>
      <c r="AM13" s="20" t="str">
        <f>ZZZ__FnCalls!F42</f>
        <v>MMM 2012</v>
      </c>
      <c r="AN13" s="21" t="str">
        <f>ZZZ__FnCalls!H31</f>
        <v>2012</v>
      </c>
      <c r="AO13" s="20" t="str">
        <f>ZZZ__FnCalls!F43</f>
        <v>MMM 2013</v>
      </c>
      <c r="AP13" s="20" t="str">
        <f>ZZZ__FnCalls!F44</f>
        <v>MMM 2013</v>
      </c>
      <c r="AQ13" s="20" t="str">
        <f>ZZZ__FnCalls!F45</f>
        <v>MMM 2013</v>
      </c>
      <c r="AR13" s="20" t="str">
        <f>ZZZ__FnCalls!F46</f>
        <v>MMM 2013</v>
      </c>
      <c r="AS13" s="20" t="str">
        <f>ZZZ__FnCalls!F47</f>
        <v>MMM 2013</v>
      </c>
      <c r="AT13" s="20" t="str">
        <f>ZZZ__FnCalls!F48</f>
        <v>MMM 2013</v>
      </c>
      <c r="AU13" s="20" t="str">
        <f>ZZZ__FnCalls!F49</f>
        <v>MMM 2013</v>
      </c>
      <c r="AV13" s="20" t="str">
        <f>ZZZ__FnCalls!F50</f>
        <v>MMM 2013</v>
      </c>
      <c r="AW13" s="20" t="str">
        <f>ZZZ__FnCalls!F51</f>
        <v>MMM 2013</v>
      </c>
      <c r="AX13" s="20" t="str">
        <f>ZZZ__FnCalls!F52</f>
        <v>MMM 2013</v>
      </c>
      <c r="AY13" s="20" t="str">
        <f>ZZZ__FnCalls!F53</f>
        <v>MMM 2013</v>
      </c>
      <c r="AZ13" s="20" t="str">
        <f>ZZZ__FnCalls!F54</f>
        <v>MMM 2013</v>
      </c>
      <c r="BA13" s="21" t="str">
        <f>ZZZ__FnCalls!H43</f>
        <v>2013</v>
      </c>
      <c r="BB13" s="20" t="str">
        <f>ZZZ__FnCalls!F55</f>
        <v>MMM 2014</v>
      </c>
      <c r="BC13" s="20" t="str">
        <f>ZZZ__FnCalls!F56</f>
        <v>MMM 2014</v>
      </c>
      <c r="BD13" s="20" t="str">
        <f>ZZZ__FnCalls!F57</f>
        <v>MMM 2014</v>
      </c>
      <c r="BE13" s="20" t="str">
        <f>ZZZ__FnCalls!F58</f>
        <v>MMM 2014</v>
      </c>
      <c r="BF13" s="20" t="str">
        <f>ZZZ__FnCalls!F59</f>
        <v>MMM 2014</v>
      </c>
      <c r="BG13" s="20" t="str">
        <f>ZZZ__FnCalls!F60</f>
        <v>MMM 2014</v>
      </c>
      <c r="BH13" s="20" t="str">
        <f>ZZZ__FnCalls!F61</f>
        <v>MMM 2014</v>
      </c>
      <c r="BI13" s="20" t="str">
        <f>ZZZ__FnCalls!F62</f>
        <v>MMM 2014</v>
      </c>
      <c r="BJ13" s="20" t="str">
        <f>ZZZ__FnCalls!F63</f>
        <v>MMM 2014</v>
      </c>
      <c r="BK13" s="20" t="str">
        <f>ZZZ__FnCalls!F64</f>
        <v>MMM 2014</v>
      </c>
      <c r="BL13" s="20" t="str">
        <f>ZZZ__FnCalls!F65</f>
        <v>MMM 2014</v>
      </c>
      <c r="BM13" s="20" t="str">
        <f>ZZZ__FnCalls!F66</f>
        <v>MMM 2014</v>
      </c>
      <c r="BN13" s="21" t="str">
        <f>ZZZ__FnCalls!H55</f>
        <v>2014</v>
      </c>
      <c r="BO13" s="20" t="str">
        <f>ZZZ__FnCalls!F67</f>
        <v>MMM 2015</v>
      </c>
      <c r="BP13" s="20" t="str">
        <f>ZZZ__FnCalls!F68</f>
        <v>MMM 2015</v>
      </c>
      <c r="BQ13" s="20" t="str">
        <f>ZZZ__FnCalls!F69</f>
        <v>MMM 2015</v>
      </c>
      <c r="BR13" s="20" t="str">
        <f>ZZZ__FnCalls!F70</f>
        <v>MMM 2015</v>
      </c>
      <c r="BS13" s="20" t="str">
        <f>ZZZ__FnCalls!F71</f>
        <v>MMM 2015</v>
      </c>
      <c r="BT13" s="20" t="str">
        <f>ZZZ__FnCalls!F72</f>
        <v>MMM 2015</v>
      </c>
      <c r="BU13" s="20" t="str">
        <f>ZZZ__FnCalls!F73</f>
        <v>MMM 2015</v>
      </c>
      <c r="BV13" s="20" t="str">
        <f>ZZZ__FnCalls!F74</f>
        <v>MMM 2015</v>
      </c>
      <c r="BW13" s="20" t="str">
        <f>ZZZ__FnCalls!F75</f>
        <v>MMM 2015</v>
      </c>
      <c r="BX13" s="20" t="str">
        <f>ZZZ__FnCalls!F76</f>
        <v>MMM 2015</v>
      </c>
      <c r="BY13" s="20" t="str">
        <f>ZZZ__FnCalls!F77</f>
        <v>MMM 2015</v>
      </c>
      <c r="BZ13" s="20" t="str">
        <f>ZZZ__FnCalls!F78</f>
        <v>MMM 2015</v>
      </c>
      <c r="CA13" s="21" t="str">
        <f>ZZZ__FnCalls!H67</f>
        <v>2015</v>
      </c>
      <c r="CB13" s="20" t="str">
        <f>ZZZ__FnCalls!F79</f>
        <v>MMM 2016</v>
      </c>
      <c r="CC13" s="20" t="str">
        <f>ZZZ__FnCalls!F80</f>
        <v>MMM 2016</v>
      </c>
      <c r="CD13" s="20" t="str">
        <f>ZZZ__FnCalls!F81</f>
        <v>MMM 2016</v>
      </c>
      <c r="CE13" s="20" t="str">
        <f>ZZZ__FnCalls!F82</f>
        <v>MMM 2016</v>
      </c>
      <c r="CF13" s="20" t="str">
        <f>ZZZ__FnCalls!F83</f>
        <v>MMM 2016</v>
      </c>
      <c r="CG13" s="20" t="str">
        <f>ZZZ__FnCalls!F84</f>
        <v>MMM 2016</v>
      </c>
      <c r="CH13" s="20" t="str">
        <f>ZZZ__FnCalls!F85</f>
        <v>MMM 2016</v>
      </c>
      <c r="CI13" s="20" t="str">
        <f>ZZZ__FnCalls!F86</f>
        <v>MMM 2016</v>
      </c>
      <c r="CJ13" s="20" t="str">
        <f>ZZZ__FnCalls!F87</f>
        <v>MMM 2016</v>
      </c>
      <c r="CK13" s="20" t="str">
        <f>ZZZ__FnCalls!F88</f>
        <v>MMM 2016</v>
      </c>
      <c r="CL13" s="20" t="str">
        <f>ZZZ__FnCalls!F89</f>
        <v>MMM 2016</v>
      </c>
      <c r="CM13" s="20" t="str">
        <f>ZZZ__FnCalls!F90</f>
        <v>MMM 2016</v>
      </c>
      <c r="CN13" s="21" t="str">
        <f>ZZZ__FnCalls!H79</f>
        <v>2016</v>
      </c>
      <c r="CO13" s="20" t="str">
        <f>ZZZ__FnCalls!F91</f>
        <v>MMM 2017</v>
      </c>
      <c r="CP13" s="20" t="str">
        <f>ZZZ__FnCalls!F92</f>
        <v>MMM 2017</v>
      </c>
      <c r="CQ13" s="20" t="str">
        <f>ZZZ__FnCalls!F93</f>
        <v>MMM 2017</v>
      </c>
      <c r="CR13" s="20" t="str">
        <f>ZZZ__FnCalls!F94</f>
        <v>MMM 2017</v>
      </c>
      <c r="CS13" s="20" t="str">
        <f>ZZZ__FnCalls!F95</f>
        <v>MMM 2017</v>
      </c>
      <c r="CT13" s="20" t="str">
        <f>ZZZ__FnCalls!F96</f>
        <v>MMM 2017</v>
      </c>
      <c r="CU13" s="20" t="str">
        <f>ZZZ__FnCalls!F97</f>
        <v>MMM 2017</v>
      </c>
      <c r="CV13" s="20" t="str">
        <f>ZZZ__FnCalls!F98</f>
        <v>MMM 2017</v>
      </c>
      <c r="CW13" s="20" t="str">
        <f>ZZZ__FnCalls!F99</f>
        <v>MMM 2017</v>
      </c>
      <c r="CX13" s="20" t="str">
        <f>ZZZ__FnCalls!F100</f>
        <v>MMM 2017</v>
      </c>
      <c r="CY13" s="20" t="str">
        <f>ZZZ__FnCalls!F101</f>
        <v>MMM 2017</v>
      </c>
      <c r="CZ13" s="20" t="str">
        <f>ZZZ__FnCalls!F102</f>
        <v>MMM 2017</v>
      </c>
      <c r="DA13" s="21" t="str">
        <f>ZZZ__FnCalls!H91</f>
        <v>2017</v>
      </c>
      <c r="DB13" s="20" t="str">
        <f>ZZZ__FnCalls!F103</f>
        <v>MMM 2018</v>
      </c>
      <c r="DC13" s="20" t="str">
        <f>ZZZ__FnCalls!F104</f>
        <v>MMM 2018</v>
      </c>
      <c r="DD13" s="20" t="str">
        <f>ZZZ__FnCalls!F105</f>
        <v>MMM 2018</v>
      </c>
      <c r="DE13" s="20" t="str">
        <f>ZZZ__FnCalls!F106</f>
        <v>MMM 2018</v>
      </c>
      <c r="DF13" s="20" t="str">
        <f>ZZZ__FnCalls!F107</f>
        <v>MMM 2018</v>
      </c>
      <c r="DG13" s="20" t="str">
        <f>ZZZ__FnCalls!F108</f>
        <v>MMM 2018</v>
      </c>
      <c r="DH13" s="20" t="str">
        <f>ZZZ__FnCalls!F109</f>
        <v>MMM 2018</v>
      </c>
      <c r="DI13" s="20" t="str">
        <f>ZZZ__FnCalls!F110</f>
        <v>MMM 2018</v>
      </c>
      <c r="DJ13" s="20" t="str">
        <f>ZZZ__FnCalls!F111</f>
        <v>MMM 2018</v>
      </c>
      <c r="DK13" s="20" t="str">
        <f>ZZZ__FnCalls!F112</f>
        <v>MMM 2018</v>
      </c>
      <c r="DL13" s="20" t="str">
        <f>ZZZ__FnCalls!F113</f>
        <v>MMM 2018</v>
      </c>
      <c r="DM13" s="20" t="str">
        <f>ZZZ__FnCalls!F114</f>
        <v>MMM 2018</v>
      </c>
      <c r="DN13" s="21" t="str">
        <f>ZZZ__FnCalls!H103</f>
        <v>2018</v>
      </c>
      <c r="DO13" s="20" t="str">
        <f>ZZZ__FnCalls!F115</f>
        <v>MMM 2019</v>
      </c>
      <c r="DP13" s="20" t="str">
        <f>ZZZ__FnCalls!F116</f>
        <v>MMM 2019</v>
      </c>
      <c r="DQ13" s="20" t="str">
        <f>ZZZ__FnCalls!F117</f>
        <v>MMM 2019</v>
      </c>
      <c r="DR13" s="20" t="str">
        <f>ZZZ__FnCalls!F118</f>
        <v>MMM 2019</v>
      </c>
      <c r="DS13" s="20" t="str">
        <f>ZZZ__FnCalls!F119</f>
        <v>MMM 2019</v>
      </c>
      <c r="DT13" s="20" t="str">
        <f>ZZZ__FnCalls!F120</f>
        <v>MMM 2019</v>
      </c>
      <c r="DU13" s="20" t="str">
        <f>ZZZ__FnCalls!F121</f>
        <v>MMM 2019</v>
      </c>
      <c r="DV13" s="20" t="str">
        <f>ZZZ__FnCalls!F122</f>
        <v>MMM 2019</v>
      </c>
      <c r="DW13" s="20" t="str">
        <f>ZZZ__FnCalls!F123</f>
        <v>MMM 2019</v>
      </c>
      <c r="DX13" s="20" t="str">
        <f>ZZZ__FnCalls!F124</f>
        <v>MMM 2019</v>
      </c>
      <c r="DY13" s="20" t="str">
        <f>ZZZ__FnCalls!F125</f>
        <v>MMM 2019</v>
      </c>
      <c r="DZ13" s="20" t="str">
        <f>ZZZ__FnCalls!F126</f>
        <v>MMM 2019</v>
      </c>
      <c r="EA13" s="21" t="str">
        <f>ZZZ__FnCalls!H115</f>
        <v>2019</v>
      </c>
      <c r="EB13" s="20" t="str">
        <f>ZZZ__FnCalls!F127</f>
        <v>MMM 2020</v>
      </c>
      <c r="EC13" s="20" t="str">
        <f>ZZZ__FnCalls!F128</f>
        <v>MMM 2020</v>
      </c>
      <c r="ED13" s="20" t="str">
        <f>ZZZ__FnCalls!F129</f>
        <v>MMM 2020</v>
      </c>
      <c r="EE13" s="20" t="str">
        <f>ZZZ__FnCalls!F130</f>
        <v>MMM 2020</v>
      </c>
      <c r="EF13" s="20" t="str">
        <f>ZZZ__FnCalls!F131</f>
        <v>MMM 2020</v>
      </c>
      <c r="EG13" s="20" t="str">
        <f>ZZZ__FnCalls!F132</f>
        <v>MMM 2020</v>
      </c>
      <c r="EH13" s="20" t="str">
        <f>ZZZ__FnCalls!F133</f>
        <v>MMM 2020</v>
      </c>
      <c r="EI13" s="20" t="str">
        <f>ZZZ__FnCalls!F134</f>
        <v>MMM 2020</v>
      </c>
      <c r="EJ13" s="20" t="str">
        <f>ZZZ__FnCalls!F135</f>
        <v>MMM 2020</v>
      </c>
      <c r="EK13" s="20" t="str">
        <f>ZZZ__FnCalls!F136</f>
        <v>MMM 2020</v>
      </c>
      <c r="EL13" s="20" t="str">
        <f>ZZZ__FnCalls!F137</f>
        <v>MMM 2020</v>
      </c>
      <c r="EM13" s="20" t="str">
        <f>ZZZ__FnCalls!F138</f>
        <v>MMM 2020</v>
      </c>
      <c r="EN13" s="21" t="str">
        <f>ZZZ__FnCalls!H127</f>
        <v>2020</v>
      </c>
    </row>
    <row r="14" spans="1:144" ht="12.75" customHeight="1" x14ac:dyDescent="0.2">
      <c r="A14" s="5"/>
      <c r="B14" s="46">
        <f>ZZZ__FnCalls!A7</f>
        <v>40179</v>
      </c>
      <c r="C14" s="46">
        <f>ZZZ__FnCalls!A8</f>
        <v>40210</v>
      </c>
      <c r="D14" s="46">
        <f>ZZZ__FnCalls!A9</f>
        <v>40238</v>
      </c>
      <c r="E14" s="46">
        <f>ZZZ__FnCalls!A10</f>
        <v>40269</v>
      </c>
      <c r="F14" s="46">
        <f>ZZZ__FnCalls!A11</f>
        <v>40299</v>
      </c>
      <c r="G14" s="46">
        <f>ZZZ__FnCalls!A12</f>
        <v>40330</v>
      </c>
      <c r="H14" s="46">
        <f>ZZZ__FnCalls!A13</f>
        <v>40360</v>
      </c>
      <c r="I14" s="46">
        <f>ZZZ__FnCalls!A14</f>
        <v>40391</v>
      </c>
      <c r="J14" s="46">
        <f>ZZZ__FnCalls!A15</f>
        <v>40422</v>
      </c>
      <c r="K14" s="46">
        <f>ZZZ__FnCalls!A16</f>
        <v>40452</v>
      </c>
      <c r="L14" s="46">
        <f>ZZZ__FnCalls!A17</f>
        <v>40483</v>
      </c>
      <c r="M14" s="46">
        <f>ZZZ__FnCalls!A18</f>
        <v>40513</v>
      </c>
      <c r="N14" s="47">
        <f>ZZZ__FnCalls!A7</f>
        <v>40179</v>
      </c>
      <c r="O14" s="46">
        <f>ZZZ__FnCalls!A19</f>
        <v>40544</v>
      </c>
      <c r="P14" s="46">
        <f>ZZZ__FnCalls!A20</f>
        <v>40575</v>
      </c>
      <c r="Q14" s="46">
        <f>ZZZ__FnCalls!A21</f>
        <v>40603</v>
      </c>
      <c r="R14" s="46">
        <f>ZZZ__FnCalls!A22</f>
        <v>40634</v>
      </c>
      <c r="S14" s="46">
        <f>ZZZ__FnCalls!A23</f>
        <v>40664</v>
      </c>
      <c r="T14" s="46">
        <f>ZZZ__FnCalls!A24</f>
        <v>40695</v>
      </c>
      <c r="U14" s="46">
        <f>ZZZ__FnCalls!A25</f>
        <v>40725</v>
      </c>
      <c r="V14" s="46">
        <f>ZZZ__FnCalls!A26</f>
        <v>40756</v>
      </c>
      <c r="W14" s="46">
        <f>ZZZ__FnCalls!A27</f>
        <v>40787</v>
      </c>
      <c r="X14" s="46">
        <f>ZZZ__FnCalls!A28</f>
        <v>40817</v>
      </c>
      <c r="Y14" s="46">
        <f>ZZZ__FnCalls!A29</f>
        <v>40848</v>
      </c>
      <c r="Z14" s="46">
        <f>ZZZ__FnCalls!A30</f>
        <v>40878</v>
      </c>
      <c r="AA14" s="47">
        <f>ZZZ__FnCalls!A19</f>
        <v>40544</v>
      </c>
      <c r="AB14" s="46">
        <f>ZZZ__FnCalls!A31</f>
        <v>40909</v>
      </c>
      <c r="AC14" s="46">
        <f>ZZZ__FnCalls!A32</f>
        <v>40940</v>
      </c>
      <c r="AD14" s="46">
        <f>ZZZ__FnCalls!A33</f>
        <v>40969</v>
      </c>
      <c r="AE14" s="46">
        <f>ZZZ__FnCalls!A34</f>
        <v>41000</v>
      </c>
      <c r="AF14" s="46">
        <f>ZZZ__FnCalls!A35</f>
        <v>41030</v>
      </c>
      <c r="AG14" s="46">
        <f>ZZZ__FnCalls!A36</f>
        <v>41061</v>
      </c>
      <c r="AH14" s="46">
        <f>ZZZ__FnCalls!A37</f>
        <v>41091</v>
      </c>
      <c r="AI14" s="46">
        <f>ZZZ__FnCalls!A38</f>
        <v>41122</v>
      </c>
      <c r="AJ14" s="46">
        <f>ZZZ__FnCalls!A39</f>
        <v>41153</v>
      </c>
      <c r="AK14" s="46">
        <f>ZZZ__FnCalls!A40</f>
        <v>41183</v>
      </c>
      <c r="AL14" s="46">
        <f>ZZZ__FnCalls!A41</f>
        <v>41214</v>
      </c>
      <c r="AM14" s="46">
        <f>ZZZ__FnCalls!A42</f>
        <v>41244</v>
      </c>
      <c r="AN14" s="47">
        <f>ZZZ__FnCalls!A31</f>
        <v>40909</v>
      </c>
      <c r="AO14" s="46">
        <f>ZZZ__FnCalls!A43</f>
        <v>41275</v>
      </c>
      <c r="AP14" s="46">
        <f>ZZZ__FnCalls!A44</f>
        <v>41306</v>
      </c>
      <c r="AQ14" s="46">
        <f>ZZZ__FnCalls!A45</f>
        <v>41334</v>
      </c>
      <c r="AR14" s="46">
        <f>ZZZ__FnCalls!A46</f>
        <v>41365</v>
      </c>
      <c r="AS14" s="46">
        <f>ZZZ__FnCalls!A47</f>
        <v>41395</v>
      </c>
      <c r="AT14" s="46">
        <f>ZZZ__FnCalls!A48</f>
        <v>41426</v>
      </c>
      <c r="AU14" s="46">
        <f>ZZZ__FnCalls!A49</f>
        <v>41456</v>
      </c>
      <c r="AV14" s="46">
        <f>ZZZ__FnCalls!A50</f>
        <v>41487</v>
      </c>
      <c r="AW14" s="46">
        <f>ZZZ__FnCalls!A51</f>
        <v>41518</v>
      </c>
      <c r="AX14" s="46">
        <f>ZZZ__FnCalls!A52</f>
        <v>41548</v>
      </c>
      <c r="AY14" s="46">
        <f>ZZZ__FnCalls!A53</f>
        <v>41579</v>
      </c>
      <c r="AZ14" s="46">
        <f>ZZZ__FnCalls!A54</f>
        <v>41609</v>
      </c>
      <c r="BA14" s="47">
        <f>ZZZ__FnCalls!A43</f>
        <v>41275</v>
      </c>
      <c r="BB14" s="46">
        <f>ZZZ__FnCalls!A55</f>
        <v>41640</v>
      </c>
      <c r="BC14" s="46">
        <f>ZZZ__FnCalls!A56</f>
        <v>41671</v>
      </c>
      <c r="BD14" s="46">
        <f>ZZZ__FnCalls!A57</f>
        <v>41699</v>
      </c>
      <c r="BE14" s="46">
        <f>ZZZ__FnCalls!A58</f>
        <v>41730</v>
      </c>
      <c r="BF14" s="46">
        <f>ZZZ__FnCalls!A59</f>
        <v>41760</v>
      </c>
      <c r="BG14" s="46">
        <f>ZZZ__FnCalls!A60</f>
        <v>41791</v>
      </c>
      <c r="BH14" s="46">
        <f>ZZZ__FnCalls!A61</f>
        <v>41821</v>
      </c>
      <c r="BI14" s="46">
        <f>ZZZ__FnCalls!A62</f>
        <v>41852</v>
      </c>
      <c r="BJ14" s="46">
        <f>ZZZ__FnCalls!A63</f>
        <v>41883</v>
      </c>
      <c r="BK14" s="46">
        <f>ZZZ__FnCalls!A64</f>
        <v>41913</v>
      </c>
      <c r="BL14" s="46">
        <f>ZZZ__FnCalls!A65</f>
        <v>41944</v>
      </c>
      <c r="BM14" s="46">
        <f>ZZZ__FnCalls!A66</f>
        <v>41974</v>
      </c>
      <c r="BN14" s="47">
        <f>ZZZ__FnCalls!A55</f>
        <v>41640</v>
      </c>
      <c r="BO14" s="46">
        <f>ZZZ__FnCalls!A67</f>
        <v>42005</v>
      </c>
      <c r="BP14" s="46">
        <f>ZZZ__FnCalls!A68</f>
        <v>42036</v>
      </c>
      <c r="BQ14" s="46">
        <f>ZZZ__FnCalls!A69</f>
        <v>42064</v>
      </c>
      <c r="BR14" s="46">
        <f>ZZZ__FnCalls!A70</f>
        <v>42095</v>
      </c>
      <c r="BS14" s="46">
        <f>ZZZ__FnCalls!A71</f>
        <v>42125</v>
      </c>
      <c r="BT14" s="46">
        <f>ZZZ__FnCalls!A72</f>
        <v>42156</v>
      </c>
      <c r="BU14" s="46">
        <f>ZZZ__FnCalls!A73</f>
        <v>42186</v>
      </c>
      <c r="BV14" s="46">
        <f>ZZZ__FnCalls!A74</f>
        <v>42217</v>
      </c>
      <c r="BW14" s="46">
        <f>ZZZ__FnCalls!A75</f>
        <v>42248</v>
      </c>
      <c r="BX14" s="46">
        <f>ZZZ__FnCalls!A76</f>
        <v>42278</v>
      </c>
      <c r="BY14" s="46">
        <f>ZZZ__FnCalls!A77</f>
        <v>42309</v>
      </c>
      <c r="BZ14" s="46">
        <f>ZZZ__FnCalls!A78</f>
        <v>42339</v>
      </c>
      <c r="CA14" s="47">
        <f>ZZZ__FnCalls!A67</f>
        <v>42005</v>
      </c>
      <c r="CB14" s="46">
        <f>ZZZ__FnCalls!A79</f>
        <v>42370</v>
      </c>
      <c r="CC14" s="46">
        <f>ZZZ__FnCalls!A80</f>
        <v>42401</v>
      </c>
      <c r="CD14" s="46">
        <f>ZZZ__FnCalls!A81</f>
        <v>42430</v>
      </c>
      <c r="CE14" s="46">
        <f>ZZZ__FnCalls!A82</f>
        <v>42461</v>
      </c>
      <c r="CF14" s="46">
        <f>ZZZ__FnCalls!A83</f>
        <v>42491</v>
      </c>
      <c r="CG14" s="46">
        <f>ZZZ__FnCalls!A84</f>
        <v>42522</v>
      </c>
      <c r="CH14" s="46">
        <f>ZZZ__FnCalls!A85</f>
        <v>42552</v>
      </c>
      <c r="CI14" s="46">
        <f>ZZZ__FnCalls!A86</f>
        <v>42583</v>
      </c>
      <c r="CJ14" s="46">
        <f>ZZZ__FnCalls!A87</f>
        <v>42614</v>
      </c>
      <c r="CK14" s="46">
        <f>ZZZ__FnCalls!A88</f>
        <v>42644</v>
      </c>
      <c r="CL14" s="46">
        <f>ZZZ__FnCalls!A89</f>
        <v>42675</v>
      </c>
      <c r="CM14" s="46">
        <f>ZZZ__FnCalls!A90</f>
        <v>42705</v>
      </c>
      <c r="CN14" s="47">
        <f>ZZZ__FnCalls!A79</f>
        <v>42370</v>
      </c>
      <c r="CO14" s="46">
        <f>ZZZ__FnCalls!A91</f>
        <v>42736</v>
      </c>
      <c r="CP14" s="46">
        <f>ZZZ__FnCalls!A92</f>
        <v>42767</v>
      </c>
      <c r="CQ14" s="46">
        <f>ZZZ__FnCalls!A93</f>
        <v>42795</v>
      </c>
      <c r="CR14" s="46">
        <f>ZZZ__FnCalls!A94</f>
        <v>42826</v>
      </c>
      <c r="CS14" s="46">
        <f>ZZZ__FnCalls!A95</f>
        <v>42856</v>
      </c>
      <c r="CT14" s="46">
        <f>ZZZ__FnCalls!A96</f>
        <v>42887</v>
      </c>
      <c r="CU14" s="46">
        <f>ZZZ__FnCalls!A97</f>
        <v>42917</v>
      </c>
      <c r="CV14" s="46">
        <f>ZZZ__FnCalls!A98</f>
        <v>42948</v>
      </c>
      <c r="CW14" s="46">
        <f>ZZZ__FnCalls!A99</f>
        <v>42979</v>
      </c>
      <c r="CX14" s="46">
        <f>ZZZ__FnCalls!A100</f>
        <v>43009</v>
      </c>
      <c r="CY14" s="46">
        <f>ZZZ__FnCalls!A101</f>
        <v>43040</v>
      </c>
      <c r="CZ14" s="46">
        <f>ZZZ__FnCalls!A102</f>
        <v>43070</v>
      </c>
      <c r="DA14" s="47">
        <f>ZZZ__FnCalls!A91</f>
        <v>42736</v>
      </c>
      <c r="DB14" s="46">
        <f>ZZZ__FnCalls!A103</f>
        <v>43101</v>
      </c>
      <c r="DC14" s="46">
        <f>ZZZ__FnCalls!A104</f>
        <v>43132</v>
      </c>
      <c r="DD14" s="46">
        <f>ZZZ__FnCalls!A105</f>
        <v>43160</v>
      </c>
      <c r="DE14" s="46">
        <f>ZZZ__FnCalls!A106</f>
        <v>43191</v>
      </c>
      <c r="DF14" s="46">
        <f>ZZZ__FnCalls!A107</f>
        <v>43221</v>
      </c>
      <c r="DG14" s="46">
        <f>ZZZ__FnCalls!A108</f>
        <v>43252</v>
      </c>
      <c r="DH14" s="46">
        <f>ZZZ__FnCalls!A109</f>
        <v>43282</v>
      </c>
      <c r="DI14" s="46">
        <f>ZZZ__FnCalls!A110</f>
        <v>43313</v>
      </c>
      <c r="DJ14" s="46">
        <f>ZZZ__FnCalls!A111</f>
        <v>43344</v>
      </c>
      <c r="DK14" s="46">
        <f>ZZZ__FnCalls!A112</f>
        <v>43374</v>
      </c>
      <c r="DL14" s="46">
        <f>ZZZ__FnCalls!A113</f>
        <v>43405</v>
      </c>
      <c r="DM14" s="46">
        <f>ZZZ__FnCalls!A114</f>
        <v>43435</v>
      </c>
      <c r="DN14" s="47">
        <f>ZZZ__FnCalls!A103</f>
        <v>43101</v>
      </c>
      <c r="DO14" s="46">
        <f>ZZZ__FnCalls!A115</f>
        <v>43466</v>
      </c>
      <c r="DP14" s="46">
        <f>ZZZ__FnCalls!A116</f>
        <v>43497</v>
      </c>
      <c r="DQ14" s="46">
        <f>ZZZ__FnCalls!A117</f>
        <v>43525</v>
      </c>
      <c r="DR14" s="46">
        <f>ZZZ__FnCalls!A118</f>
        <v>43556</v>
      </c>
      <c r="DS14" s="46">
        <f>ZZZ__FnCalls!A119</f>
        <v>43586</v>
      </c>
      <c r="DT14" s="46">
        <f>ZZZ__FnCalls!A120</f>
        <v>43617</v>
      </c>
      <c r="DU14" s="46">
        <f>ZZZ__FnCalls!A121</f>
        <v>43647</v>
      </c>
      <c r="DV14" s="46">
        <f>ZZZ__FnCalls!A122</f>
        <v>43678</v>
      </c>
      <c r="DW14" s="46">
        <f>ZZZ__FnCalls!A123</f>
        <v>43709</v>
      </c>
      <c r="DX14" s="46">
        <f>ZZZ__FnCalls!A124</f>
        <v>43739</v>
      </c>
      <c r="DY14" s="46">
        <f>ZZZ__FnCalls!A125</f>
        <v>43770</v>
      </c>
      <c r="DZ14" s="46">
        <f>ZZZ__FnCalls!A126</f>
        <v>43800</v>
      </c>
      <c r="EA14" s="47">
        <f>ZZZ__FnCalls!A115</f>
        <v>43466</v>
      </c>
      <c r="EB14" s="46">
        <f>ZZZ__FnCalls!A127</f>
        <v>43831</v>
      </c>
      <c r="EC14" s="46">
        <f>ZZZ__FnCalls!A128</f>
        <v>43862</v>
      </c>
      <c r="ED14" s="46">
        <f>ZZZ__FnCalls!A129</f>
        <v>43891</v>
      </c>
      <c r="EE14" s="46">
        <f>ZZZ__FnCalls!A130</f>
        <v>43922</v>
      </c>
      <c r="EF14" s="46">
        <f>ZZZ__FnCalls!A131</f>
        <v>43952</v>
      </c>
      <c r="EG14" s="46">
        <f>ZZZ__FnCalls!A132</f>
        <v>43983</v>
      </c>
      <c r="EH14" s="46">
        <f>ZZZ__FnCalls!A133</f>
        <v>44013</v>
      </c>
      <c r="EI14" s="46">
        <f>ZZZ__FnCalls!A134</f>
        <v>44044</v>
      </c>
      <c r="EJ14" s="46">
        <f>ZZZ__FnCalls!A135</f>
        <v>44075</v>
      </c>
      <c r="EK14" s="46">
        <f>ZZZ__FnCalls!A136</f>
        <v>44105</v>
      </c>
      <c r="EL14" s="46">
        <f>ZZZ__FnCalls!A137</f>
        <v>44136</v>
      </c>
      <c r="EM14" s="46">
        <f>ZZZ__FnCalls!A138</f>
        <v>44166</v>
      </c>
      <c r="EN14" s="47">
        <f>ZZZ__FnCalls!A127</f>
        <v>43831</v>
      </c>
    </row>
    <row r="15" spans="1:144" ht="12.75" customHeight="1" x14ac:dyDescent="0.2">
      <c r="A15" s="2" t="str">
        <f>"Final_Sales_2"</f>
        <v>Final_Sales_2</v>
      </c>
    </row>
    <row r="16" spans="1:144" ht="12.75" customHeight="1" x14ac:dyDescent="0.2">
      <c r="B16" s="19" t="str">
        <f>ZZZ__FnCalls!F7</f>
        <v>MMM 2010</v>
      </c>
      <c r="C16" s="20" t="str">
        <f>ZZZ__FnCalls!F8</f>
        <v>MMM 2010</v>
      </c>
      <c r="D16" s="20" t="str">
        <f>ZZZ__FnCalls!F9</f>
        <v>MMM 2010</v>
      </c>
      <c r="E16" s="20" t="str">
        <f>ZZZ__FnCalls!F10</f>
        <v>MMM 2010</v>
      </c>
      <c r="F16" s="20" t="str">
        <f>ZZZ__FnCalls!F11</f>
        <v>MMM 2010</v>
      </c>
      <c r="G16" s="20" t="str">
        <f>ZZZ__FnCalls!F12</f>
        <v>MMM 2010</v>
      </c>
      <c r="H16" s="20" t="str">
        <f>ZZZ__FnCalls!F13</f>
        <v>MMM 2010</v>
      </c>
      <c r="I16" s="20" t="str">
        <f>ZZZ__FnCalls!F14</f>
        <v>MMM 2010</v>
      </c>
      <c r="J16" s="20" t="str">
        <f>ZZZ__FnCalls!F15</f>
        <v>MMM 2010</v>
      </c>
      <c r="K16" s="20" t="str">
        <f>ZZZ__FnCalls!F16</f>
        <v>MMM 2010</v>
      </c>
      <c r="L16" s="20" t="str">
        <f>ZZZ__FnCalls!F17</f>
        <v>MMM 2010</v>
      </c>
      <c r="M16" s="20" t="str">
        <f>ZZZ__FnCalls!F18</f>
        <v>MMM 2010</v>
      </c>
      <c r="N16" s="21" t="str">
        <f>ZZZ__FnCalls!H7</f>
        <v>2010</v>
      </c>
      <c r="O16" s="20" t="str">
        <f>ZZZ__FnCalls!F19</f>
        <v>MMM 2011</v>
      </c>
      <c r="P16" s="20" t="str">
        <f>ZZZ__FnCalls!F20</f>
        <v>MMM 2011</v>
      </c>
      <c r="Q16" s="20" t="str">
        <f>ZZZ__FnCalls!F21</f>
        <v>MMM 2011</v>
      </c>
      <c r="R16" s="20" t="str">
        <f>ZZZ__FnCalls!F22</f>
        <v>MMM 2011</v>
      </c>
      <c r="S16" s="20" t="str">
        <f>ZZZ__FnCalls!F23</f>
        <v>MMM 2011</v>
      </c>
      <c r="T16" s="20" t="str">
        <f>ZZZ__FnCalls!F24</f>
        <v>MMM 2011</v>
      </c>
      <c r="U16" s="20" t="str">
        <f>ZZZ__FnCalls!F25</f>
        <v>MMM 2011</v>
      </c>
      <c r="V16" s="20" t="str">
        <f>ZZZ__FnCalls!F26</f>
        <v>MMM 2011</v>
      </c>
      <c r="W16" s="20" t="str">
        <f>ZZZ__FnCalls!F27</f>
        <v>MMM 2011</v>
      </c>
      <c r="X16" s="20" t="str">
        <f>ZZZ__FnCalls!F28</f>
        <v>MMM 2011</v>
      </c>
      <c r="Y16" s="20" t="str">
        <f>ZZZ__FnCalls!F29</f>
        <v>MMM 2011</v>
      </c>
      <c r="Z16" s="20" t="str">
        <f>ZZZ__FnCalls!F30</f>
        <v>MMM 2011</v>
      </c>
      <c r="AA16" s="21" t="str">
        <f>ZZZ__FnCalls!H19</f>
        <v>2011</v>
      </c>
      <c r="AB16" s="20" t="str">
        <f>ZZZ__FnCalls!F31</f>
        <v>MMM 2012</v>
      </c>
      <c r="AC16" s="20" t="str">
        <f>ZZZ__FnCalls!F32</f>
        <v>MMM 2012</v>
      </c>
      <c r="AD16" s="20" t="str">
        <f>ZZZ__FnCalls!F33</f>
        <v>MMM 2012</v>
      </c>
      <c r="AE16" s="20" t="str">
        <f>ZZZ__FnCalls!F34</f>
        <v>MMM 2012</v>
      </c>
      <c r="AF16" s="20" t="str">
        <f>ZZZ__FnCalls!F35</f>
        <v>MMM 2012</v>
      </c>
      <c r="AG16" s="20" t="str">
        <f>ZZZ__FnCalls!F36</f>
        <v>MMM 2012</v>
      </c>
      <c r="AH16" s="20" t="str">
        <f>ZZZ__FnCalls!F37</f>
        <v>MMM 2012</v>
      </c>
      <c r="AI16" s="20" t="str">
        <f>ZZZ__FnCalls!F38</f>
        <v>MMM 2012</v>
      </c>
      <c r="AJ16" s="20" t="str">
        <f>ZZZ__FnCalls!F39</f>
        <v>MMM 2012</v>
      </c>
      <c r="AK16" s="20" t="str">
        <f>ZZZ__FnCalls!F40</f>
        <v>MMM 2012</v>
      </c>
      <c r="AL16" s="20" t="str">
        <f>ZZZ__FnCalls!F41</f>
        <v>MMM 2012</v>
      </c>
      <c r="AM16" s="20" t="str">
        <f>ZZZ__FnCalls!F42</f>
        <v>MMM 2012</v>
      </c>
      <c r="AN16" s="21" t="str">
        <f>ZZZ__FnCalls!H31</f>
        <v>2012</v>
      </c>
      <c r="AO16" s="20" t="str">
        <f>ZZZ__FnCalls!F43</f>
        <v>MMM 2013</v>
      </c>
      <c r="AP16" s="20" t="str">
        <f>ZZZ__FnCalls!F44</f>
        <v>MMM 2013</v>
      </c>
      <c r="AQ16" s="20" t="str">
        <f>ZZZ__FnCalls!F45</f>
        <v>MMM 2013</v>
      </c>
      <c r="AR16" s="20" t="str">
        <f>ZZZ__FnCalls!F46</f>
        <v>MMM 2013</v>
      </c>
      <c r="AS16" s="20" t="str">
        <f>ZZZ__FnCalls!F47</f>
        <v>MMM 2013</v>
      </c>
      <c r="AT16" s="20" t="str">
        <f>ZZZ__FnCalls!F48</f>
        <v>MMM 2013</v>
      </c>
      <c r="AU16" s="20" t="str">
        <f>ZZZ__FnCalls!F49</f>
        <v>MMM 2013</v>
      </c>
      <c r="AV16" s="20" t="str">
        <f>ZZZ__FnCalls!F50</f>
        <v>MMM 2013</v>
      </c>
      <c r="AW16" s="20" t="str">
        <f>ZZZ__FnCalls!F51</f>
        <v>MMM 2013</v>
      </c>
      <c r="AX16" s="20" t="str">
        <f>ZZZ__FnCalls!F52</f>
        <v>MMM 2013</v>
      </c>
      <c r="AY16" s="20" t="str">
        <f>ZZZ__FnCalls!F53</f>
        <v>MMM 2013</v>
      </c>
      <c r="AZ16" s="20" t="str">
        <f>ZZZ__FnCalls!F54</f>
        <v>MMM 2013</v>
      </c>
      <c r="BA16" s="21" t="str">
        <f>ZZZ__FnCalls!H43</f>
        <v>2013</v>
      </c>
      <c r="BB16" s="20" t="str">
        <f>ZZZ__FnCalls!F55</f>
        <v>MMM 2014</v>
      </c>
      <c r="BC16" s="20" t="str">
        <f>ZZZ__FnCalls!F56</f>
        <v>MMM 2014</v>
      </c>
      <c r="BD16" s="20" t="str">
        <f>ZZZ__FnCalls!F57</f>
        <v>MMM 2014</v>
      </c>
      <c r="BE16" s="20" t="str">
        <f>ZZZ__FnCalls!F58</f>
        <v>MMM 2014</v>
      </c>
      <c r="BF16" s="20" t="str">
        <f>ZZZ__FnCalls!F59</f>
        <v>MMM 2014</v>
      </c>
      <c r="BG16" s="20" t="str">
        <f>ZZZ__FnCalls!F60</f>
        <v>MMM 2014</v>
      </c>
      <c r="BH16" s="20" t="str">
        <f>ZZZ__FnCalls!F61</f>
        <v>MMM 2014</v>
      </c>
      <c r="BI16" s="20" t="str">
        <f>ZZZ__FnCalls!F62</f>
        <v>MMM 2014</v>
      </c>
      <c r="BJ16" s="20" t="str">
        <f>ZZZ__FnCalls!F63</f>
        <v>MMM 2014</v>
      </c>
      <c r="BK16" s="20" t="str">
        <f>ZZZ__FnCalls!F64</f>
        <v>MMM 2014</v>
      </c>
      <c r="BL16" s="20" t="str">
        <f>ZZZ__FnCalls!F65</f>
        <v>MMM 2014</v>
      </c>
      <c r="BM16" s="20" t="str">
        <f>ZZZ__FnCalls!F66</f>
        <v>MMM 2014</v>
      </c>
      <c r="BN16" s="21" t="str">
        <f>ZZZ__FnCalls!H55</f>
        <v>2014</v>
      </c>
      <c r="BO16" s="20" t="str">
        <f>ZZZ__FnCalls!F67</f>
        <v>MMM 2015</v>
      </c>
      <c r="BP16" s="20" t="str">
        <f>ZZZ__FnCalls!F68</f>
        <v>MMM 2015</v>
      </c>
      <c r="BQ16" s="20" t="str">
        <f>ZZZ__FnCalls!F69</f>
        <v>MMM 2015</v>
      </c>
      <c r="BR16" s="20" t="str">
        <f>ZZZ__FnCalls!F70</f>
        <v>MMM 2015</v>
      </c>
      <c r="BS16" s="20" t="str">
        <f>ZZZ__FnCalls!F71</f>
        <v>MMM 2015</v>
      </c>
      <c r="BT16" s="20" t="str">
        <f>ZZZ__FnCalls!F72</f>
        <v>MMM 2015</v>
      </c>
      <c r="BU16" s="20" t="str">
        <f>ZZZ__FnCalls!F73</f>
        <v>MMM 2015</v>
      </c>
      <c r="BV16" s="20" t="str">
        <f>ZZZ__FnCalls!F74</f>
        <v>MMM 2015</v>
      </c>
      <c r="BW16" s="20" t="str">
        <f>ZZZ__FnCalls!F75</f>
        <v>MMM 2015</v>
      </c>
      <c r="BX16" s="20" t="str">
        <f>ZZZ__FnCalls!F76</f>
        <v>MMM 2015</v>
      </c>
      <c r="BY16" s="20" t="str">
        <f>ZZZ__FnCalls!F77</f>
        <v>MMM 2015</v>
      </c>
      <c r="BZ16" s="20" t="str">
        <f>ZZZ__FnCalls!F78</f>
        <v>MMM 2015</v>
      </c>
      <c r="CA16" s="21" t="str">
        <f>ZZZ__FnCalls!H67</f>
        <v>2015</v>
      </c>
      <c r="CB16" s="20" t="str">
        <f>ZZZ__FnCalls!F79</f>
        <v>MMM 2016</v>
      </c>
      <c r="CC16" s="20" t="str">
        <f>ZZZ__FnCalls!F80</f>
        <v>MMM 2016</v>
      </c>
      <c r="CD16" s="20" t="str">
        <f>ZZZ__FnCalls!F81</f>
        <v>MMM 2016</v>
      </c>
      <c r="CE16" s="20" t="str">
        <f>ZZZ__FnCalls!F82</f>
        <v>MMM 2016</v>
      </c>
      <c r="CF16" s="20" t="str">
        <f>ZZZ__FnCalls!F83</f>
        <v>MMM 2016</v>
      </c>
      <c r="CG16" s="20" t="str">
        <f>ZZZ__FnCalls!F84</f>
        <v>MMM 2016</v>
      </c>
      <c r="CH16" s="20" t="str">
        <f>ZZZ__FnCalls!F85</f>
        <v>MMM 2016</v>
      </c>
      <c r="CI16" s="20" t="str">
        <f>ZZZ__FnCalls!F86</f>
        <v>MMM 2016</v>
      </c>
      <c r="CJ16" s="20" t="str">
        <f>ZZZ__FnCalls!F87</f>
        <v>MMM 2016</v>
      </c>
      <c r="CK16" s="20" t="str">
        <f>ZZZ__FnCalls!F88</f>
        <v>MMM 2016</v>
      </c>
      <c r="CL16" s="20" t="str">
        <f>ZZZ__FnCalls!F89</f>
        <v>MMM 2016</v>
      </c>
      <c r="CM16" s="20" t="str">
        <f>ZZZ__FnCalls!F90</f>
        <v>MMM 2016</v>
      </c>
      <c r="CN16" s="21" t="str">
        <f>ZZZ__FnCalls!H79</f>
        <v>2016</v>
      </c>
      <c r="CO16" s="20" t="str">
        <f>ZZZ__FnCalls!F91</f>
        <v>MMM 2017</v>
      </c>
      <c r="CP16" s="20" t="str">
        <f>ZZZ__FnCalls!F92</f>
        <v>MMM 2017</v>
      </c>
      <c r="CQ16" s="20" t="str">
        <f>ZZZ__FnCalls!F93</f>
        <v>MMM 2017</v>
      </c>
      <c r="CR16" s="20" t="str">
        <f>ZZZ__FnCalls!F94</f>
        <v>MMM 2017</v>
      </c>
      <c r="CS16" s="20" t="str">
        <f>ZZZ__FnCalls!F95</f>
        <v>MMM 2017</v>
      </c>
      <c r="CT16" s="20" t="str">
        <f>ZZZ__FnCalls!F96</f>
        <v>MMM 2017</v>
      </c>
      <c r="CU16" s="20" t="str">
        <f>ZZZ__FnCalls!F97</f>
        <v>MMM 2017</v>
      </c>
      <c r="CV16" s="20" t="str">
        <f>ZZZ__FnCalls!F98</f>
        <v>MMM 2017</v>
      </c>
      <c r="CW16" s="20" t="str">
        <f>ZZZ__FnCalls!F99</f>
        <v>MMM 2017</v>
      </c>
      <c r="CX16" s="20" t="str">
        <f>ZZZ__FnCalls!F100</f>
        <v>MMM 2017</v>
      </c>
      <c r="CY16" s="20" t="str">
        <f>ZZZ__FnCalls!F101</f>
        <v>MMM 2017</v>
      </c>
      <c r="CZ16" s="20" t="str">
        <f>ZZZ__FnCalls!F102</f>
        <v>MMM 2017</v>
      </c>
      <c r="DA16" s="21" t="str">
        <f>ZZZ__FnCalls!H91</f>
        <v>2017</v>
      </c>
      <c r="DB16" s="20" t="str">
        <f>ZZZ__FnCalls!F103</f>
        <v>MMM 2018</v>
      </c>
      <c r="DC16" s="20" t="str">
        <f>ZZZ__FnCalls!F104</f>
        <v>MMM 2018</v>
      </c>
      <c r="DD16" s="20" t="str">
        <f>ZZZ__FnCalls!F105</f>
        <v>MMM 2018</v>
      </c>
      <c r="DE16" s="20" t="str">
        <f>ZZZ__FnCalls!F106</f>
        <v>MMM 2018</v>
      </c>
      <c r="DF16" s="20" t="str">
        <f>ZZZ__FnCalls!F107</f>
        <v>MMM 2018</v>
      </c>
      <c r="DG16" s="20" t="str">
        <f>ZZZ__FnCalls!F108</f>
        <v>MMM 2018</v>
      </c>
      <c r="DH16" s="20" t="str">
        <f>ZZZ__FnCalls!F109</f>
        <v>MMM 2018</v>
      </c>
      <c r="DI16" s="20" t="str">
        <f>ZZZ__FnCalls!F110</f>
        <v>MMM 2018</v>
      </c>
      <c r="DJ16" s="20" t="str">
        <f>ZZZ__FnCalls!F111</f>
        <v>MMM 2018</v>
      </c>
      <c r="DK16" s="20" t="str">
        <f>ZZZ__FnCalls!F112</f>
        <v>MMM 2018</v>
      </c>
      <c r="DL16" s="20" t="str">
        <f>ZZZ__FnCalls!F113</f>
        <v>MMM 2018</v>
      </c>
      <c r="DM16" s="20" t="str">
        <f>ZZZ__FnCalls!F114</f>
        <v>MMM 2018</v>
      </c>
      <c r="DN16" s="21" t="str">
        <f>ZZZ__FnCalls!H103</f>
        <v>2018</v>
      </c>
      <c r="DO16" s="20" t="str">
        <f>ZZZ__FnCalls!F115</f>
        <v>MMM 2019</v>
      </c>
      <c r="DP16" s="20" t="str">
        <f>ZZZ__FnCalls!F116</f>
        <v>MMM 2019</v>
      </c>
      <c r="DQ16" s="20" t="str">
        <f>ZZZ__FnCalls!F117</f>
        <v>MMM 2019</v>
      </c>
      <c r="DR16" s="20" t="str">
        <f>ZZZ__FnCalls!F118</f>
        <v>MMM 2019</v>
      </c>
      <c r="DS16" s="20" t="str">
        <f>ZZZ__FnCalls!F119</f>
        <v>MMM 2019</v>
      </c>
      <c r="DT16" s="20" t="str">
        <f>ZZZ__FnCalls!F120</f>
        <v>MMM 2019</v>
      </c>
      <c r="DU16" s="20" t="str">
        <f>ZZZ__FnCalls!F121</f>
        <v>MMM 2019</v>
      </c>
      <c r="DV16" s="20" t="str">
        <f>ZZZ__FnCalls!F122</f>
        <v>MMM 2019</v>
      </c>
      <c r="DW16" s="20" t="str">
        <f>ZZZ__FnCalls!F123</f>
        <v>MMM 2019</v>
      </c>
      <c r="DX16" s="20" t="str">
        <f>ZZZ__FnCalls!F124</f>
        <v>MMM 2019</v>
      </c>
      <c r="DY16" s="20" t="str">
        <f>ZZZ__FnCalls!F125</f>
        <v>MMM 2019</v>
      </c>
      <c r="DZ16" s="20" t="str">
        <f>ZZZ__FnCalls!F126</f>
        <v>MMM 2019</v>
      </c>
      <c r="EA16" s="21" t="str">
        <f>ZZZ__FnCalls!H115</f>
        <v>2019</v>
      </c>
      <c r="EB16" s="20" t="str">
        <f>ZZZ__FnCalls!F127</f>
        <v>MMM 2020</v>
      </c>
      <c r="EC16" s="20" t="str">
        <f>ZZZ__FnCalls!F128</f>
        <v>MMM 2020</v>
      </c>
      <c r="ED16" s="20" t="str">
        <f>ZZZ__FnCalls!F129</f>
        <v>MMM 2020</v>
      </c>
      <c r="EE16" s="20" t="str">
        <f>ZZZ__FnCalls!F130</f>
        <v>MMM 2020</v>
      </c>
      <c r="EF16" s="20" t="str">
        <f>ZZZ__FnCalls!F131</f>
        <v>MMM 2020</v>
      </c>
      <c r="EG16" s="20" t="str">
        <f>ZZZ__FnCalls!F132</f>
        <v>MMM 2020</v>
      </c>
      <c r="EH16" s="20" t="str">
        <f>ZZZ__FnCalls!F133</f>
        <v>MMM 2020</v>
      </c>
      <c r="EI16" s="20" t="str">
        <f>ZZZ__FnCalls!F134</f>
        <v>MMM 2020</v>
      </c>
      <c r="EJ16" s="20" t="str">
        <f>ZZZ__FnCalls!F135</f>
        <v>MMM 2020</v>
      </c>
      <c r="EK16" s="20" t="str">
        <f>ZZZ__FnCalls!F136</f>
        <v>MMM 2020</v>
      </c>
      <c r="EL16" s="20" t="str">
        <f>ZZZ__FnCalls!F137</f>
        <v>MMM 2020</v>
      </c>
      <c r="EM16" s="20" t="str">
        <f>ZZZ__FnCalls!F138</f>
        <v>MMM 2020</v>
      </c>
      <c r="EN16" s="21" t="str">
        <f>ZZZ__FnCalls!H127</f>
        <v>2020</v>
      </c>
    </row>
    <row r="17" spans="1:144" ht="12.75" customHeight="1" x14ac:dyDescent="0.2">
      <c r="A17" s="5"/>
      <c r="B17" s="46" t="str">
        <f>ZZZ__FnCalls!F7</f>
        <v>MMM 2010</v>
      </c>
      <c r="C17" s="46" t="str">
        <f>ZZZ__FnCalls!F8</f>
        <v>MMM 2010</v>
      </c>
      <c r="D17" s="46" t="str">
        <f>ZZZ__FnCalls!F9</f>
        <v>MMM 2010</v>
      </c>
      <c r="E17" s="46" t="str">
        <f>ZZZ__FnCalls!F10</f>
        <v>MMM 2010</v>
      </c>
      <c r="F17" s="46" t="str">
        <f>ZZZ__FnCalls!F11</f>
        <v>MMM 2010</v>
      </c>
      <c r="G17" s="46" t="str">
        <f>ZZZ__FnCalls!F12</f>
        <v>MMM 2010</v>
      </c>
      <c r="H17" s="46" t="str">
        <f>ZZZ__FnCalls!F13</f>
        <v>MMM 2010</v>
      </c>
      <c r="I17" s="46" t="str">
        <f>ZZZ__FnCalls!F14</f>
        <v>MMM 2010</v>
      </c>
      <c r="J17" s="46" t="str">
        <f>ZZZ__FnCalls!F15</f>
        <v>MMM 2010</v>
      </c>
      <c r="K17" s="46" t="str">
        <f>ZZZ__FnCalls!F16</f>
        <v>MMM 2010</v>
      </c>
      <c r="L17" s="46" t="str">
        <f>ZZZ__FnCalls!F17</f>
        <v>MMM 2010</v>
      </c>
      <c r="M17" s="46" t="str">
        <f>ZZZ__FnCalls!F18</f>
        <v>MMM 2010</v>
      </c>
      <c r="N17" s="47" t="str">
        <f>ZZZ__FnCalls!F7</f>
        <v>MMM 2010</v>
      </c>
      <c r="O17" s="46" t="str">
        <f>ZZZ__FnCalls!F19</f>
        <v>MMM 2011</v>
      </c>
      <c r="P17" s="46" t="str">
        <f>ZZZ__FnCalls!F20</f>
        <v>MMM 2011</v>
      </c>
      <c r="Q17" s="46" t="str">
        <f>ZZZ__FnCalls!F21</f>
        <v>MMM 2011</v>
      </c>
      <c r="R17" s="46" t="str">
        <f>ZZZ__FnCalls!F22</f>
        <v>MMM 2011</v>
      </c>
      <c r="S17" s="46" t="str">
        <f>ZZZ__FnCalls!F23</f>
        <v>MMM 2011</v>
      </c>
      <c r="T17" s="46" t="str">
        <f>ZZZ__FnCalls!F24</f>
        <v>MMM 2011</v>
      </c>
      <c r="U17" s="46" t="str">
        <f>ZZZ__FnCalls!F25</f>
        <v>MMM 2011</v>
      </c>
      <c r="V17" s="46" t="str">
        <f>ZZZ__FnCalls!F26</f>
        <v>MMM 2011</v>
      </c>
      <c r="W17" s="46" t="str">
        <f>ZZZ__FnCalls!F27</f>
        <v>MMM 2011</v>
      </c>
      <c r="X17" s="46" t="str">
        <f>ZZZ__FnCalls!F28</f>
        <v>MMM 2011</v>
      </c>
      <c r="Y17" s="46" t="str">
        <f>ZZZ__FnCalls!F29</f>
        <v>MMM 2011</v>
      </c>
      <c r="Z17" s="46" t="str">
        <f>ZZZ__FnCalls!F30</f>
        <v>MMM 2011</v>
      </c>
      <c r="AA17" s="47" t="str">
        <f>ZZZ__FnCalls!F19</f>
        <v>MMM 2011</v>
      </c>
      <c r="AB17" s="46" t="str">
        <f>ZZZ__FnCalls!F31</f>
        <v>MMM 2012</v>
      </c>
      <c r="AC17" s="46" t="str">
        <f>ZZZ__FnCalls!F32</f>
        <v>MMM 2012</v>
      </c>
      <c r="AD17" s="46" t="str">
        <f>ZZZ__FnCalls!F33</f>
        <v>MMM 2012</v>
      </c>
      <c r="AE17" s="46" t="str">
        <f>ZZZ__FnCalls!F34</f>
        <v>MMM 2012</v>
      </c>
      <c r="AF17" s="46" t="str">
        <f>ZZZ__FnCalls!F35</f>
        <v>MMM 2012</v>
      </c>
      <c r="AG17" s="46" t="str">
        <f>ZZZ__FnCalls!F36</f>
        <v>MMM 2012</v>
      </c>
      <c r="AH17" s="46" t="str">
        <f>ZZZ__FnCalls!F37</f>
        <v>MMM 2012</v>
      </c>
      <c r="AI17" s="46" t="str">
        <f>ZZZ__FnCalls!F38</f>
        <v>MMM 2012</v>
      </c>
      <c r="AJ17" s="46" t="str">
        <f>ZZZ__FnCalls!F39</f>
        <v>MMM 2012</v>
      </c>
      <c r="AK17" s="46" t="str">
        <f>ZZZ__FnCalls!F40</f>
        <v>MMM 2012</v>
      </c>
      <c r="AL17" s="46" t="str">
        <f>ZZZ__FnCalls!F41</f>
        <v>MMM 2012</v>
      </c>
      <c r="AM17" s="46" t="str">
        <f>ZZZ__FnCalls!F42</f>
        <v>MMM 2012</v>
      </c>
      <c r="AN17" s="47" t="str">
        <f>ZZZ__FnCalls!F31</f>
        <v>MMM 2012</v>
      </c>
      <c r="AO17" s="46" t="str">
        <f>ZZZ__FnCalls!F43</f>
        <v>MMM 2013</v>
      </c>
      <c r="AP17" s="46" t="str">
        <f>ZZZ__FnCalls!F44</f>
        <v>MMM 2013</v>
      </c>
      <c r="AQ17" s="46" t="str">
        <f>ZZZ__FnCalls!F45</f>
        <v>MMM 2013</v>
      </c>
      <c r="AR17" s="46" t="str">
        <f>ZZZ__FnCalls!F46</f>
        <v>MMM 2013</v>
      </c>
      <c r="AS17" s="46" t="str">
        <f>ZZZ__FnCalls!F47</f>
        <v>MMM 2013</v>
      </c>
      <c r="AT17" s="46" t="str">
        <f>ZZZ__FnCalls!F48</f>
        <v>MMM 2013</v>
      </c>
      <c r="AU17" s="46" t="str">
        <f>ZZZ__FnCalls!F49</f>
        <v>MMM 2013</v>
      </c>
      <c r="AV17" s="46" t="str">
        <f>ZZZ__FnCalls!F50</f>
        <v>MMM 2013</v>
      </c>
      <c r="AW17" s="46" t="str">
        <f>ZZZ__FnCalls!F51</f>
        <v>MMM 2013</v>
      </c>
      <c r="AX17" s="46" t="str">
        <f>ZZZ__FnCalls!F52</f>
        <v>MMM 2013</v>
      </c>
      <c r="AY17" s="46" t="str">
        <f>ZZZ__FnCalls!F53</f>
        <v>MMM 2013</v>
      </c>
      <c r="AZ17" s="46" t="str">
        <f>ZZZ__FnCalls!F54</f>
        <v>MMM 2013</v>
      </c>
      <c r="BA17" s="47" t="str">
        <f>ZZZ__FnCalls!F43</f>
        <v>MMM 2013</v>
      </c>
      <c r="BB17" s="46" t="str">
        <f>ZZZ__FnCalls!F55</f>
        <v>MMM 2014</v>
      </c>
      <c r="BC17" s="46" t="str">
        <f>ZZZ__FnCalls!F56</f>
        <v>MMM 2014</v>
      </c>
      <c r="BD17" s="46" t="str">
        <f>ZZZ__FnCalls!F57</f>
        <v>MMM 2014</v>
      </c>
      <c r="BE17" s="46" t="str">
        <f>ZZZ__FnCalls!F58</f>
        <v>MMM 2014</v>
      </c>
      <c r="BF17" s="46" t="str">
        <f>ZZZ__FnCalls!F59</f>
        <v>MMM 2014</v>
      </c>
      <c r="BG17" s="46" t="str">
        <f>ZZZ__FnCalls!F60</f>
        <v>MMM 2014</v>
      </c>
      <c r="BH17" s="46" t="str">
        <f>ZZZ__FnCalls!F61</f>
        <v>MMM 2014</v>
      </c>
      <c r="BI17" s="46" t="str">
        <f>ZZZ__FnCalls!F62</f>
        <v>MMM 2014</v>
      </c>
      <c r="BJ17" s="46" t="str">
        <f>ZZZ__FnCalls!F63</f>
        <v>MMM 2014</v>
      </c>
      <c r="BK17" s="46" t="str">
        <f>ZZZ__FnCalls!F64</f>
        <v>MMM 2014</v>
      </c>
      <c r="BL17" s="46" t="str">
        <f>ZZZ__FnCalls!F65</f>
        <v>MMM 2014</v>
      </c>
      <c r="BM17" s="46" t="str">
        <f>ZZZ__FnCalls!F66</f>
        <v>MMM 2014</v>
      </c>
      <c r="BN17" s="47" t="str">
        <f>ZZZ__FnCalls!F55</f>
        <v>MMM 2014</v>
      </c>
      <c r="BO17" s="46" t="str">
        <f>ZZZ__FnCalls!F67</f>
        <v>MMM 2015</v>
      </c>
      <c r="BP17" s="46" t="str">
        <f>ZZZ__FnCalls!F68</f>
        <v>MMM 2015</v>
      </c>
      <c r="BQ17" s="46" t="str">
        <f>ZZZ__FnCalls!F69</f>
        <v>MMM 2015</v>
      </c>
      <c r="BR17" s="46" t="str">
        <f>ZZZ__FnCalls!F70</f>
        <v>MMM 2015</v>
      </c>
      <c r="BS17" s="46" t="str">
        <f>ZZZ__FnCalls!F71</f>
        <v>MMM 2015</v>
      </c>
      <c r="BT17" s="46" t="str">
        <f>ZZZ__FnCalls!F72</f>
        <v>MMM 2015</v>
      </c>
      <c r="BU17" s="46" t="str">
        <f>ZZZ__FnCalls!F73</f>
        <v>MMM 2015</v>
      </c>
      <c r="BV17" s="46" t="str">
        <f>ZZZ__FnCalls!F74</f>
        <v>MMM 2015</v>
      </c>
      <c r="BW17" s="46" t="str">
        <f>ZZZ__FnCalls!F75</f>
        <v>MMM 2015</v>
      </c>
      <c r="BX17" s="46" t="str">
        <f>ZZZ__FnCalls!F76</f>
        <v>MMM 2015</v>
      </c>
      <c r="BY17" s="46" t="str">
        <f>ZZZ__FnCalls!F77</f>
        <v>MMM 2015</v>
      </c>
      <c r="BZ17" s="46" t="str">
        <f>ZZZ__FnCalls!F78</f>
        <v>MMM 2015</v>
      </c>
      <c r="CA17" s="47" t="str">
        <f>ZZZ__FnCalls!F67</f>
        <v>MMM 2015</v>
      </c>
      <c r="CB17" s="46" t="str">
        <f>ZZZ__FnCalls!F79</f>
        <v>MMM 2016</v>
      </c>
      <c r="CC17" s="46" t="str">
        <f>ZZZ__FnCalls!F80</f>
        <v>MMM 2016</v>
      </c>
      <c r="CD17" s="46" t="str">
        <f>ZZZ__FnCalls!F81</f>
        <v>MMM 2016</v>
      </c>
      <c r="CE17" s="46" t="str">
        <f>ZZZ__FnCalls!F82</f>
        <v>MMM 2016</v>
      </c>
      <c r="CF17" s="46" t="str">
        <f>ZZZ__FnCalls!F83</f>
        <v>MMM 2016</v>
      </c>
      <c r="CG17" s="46" t="str">
        <f>ZZZ__FnCalls!F84</f>
        <v>MMM 2016</v>
      </c>
      <c r="CH17" s="46" t="str">
        <f>ZZZ__FnCalls!F85</f>
        <v>MMM 2016</v>
      </c>
      <c r="CI17" s="46" t="str">
        <f>ZZZ__FnCalls!F86</f>
        <v>MMM 2016</v>
      </c>
      <c r="CJ17" s="46" t="str">
        <f>ZZZ__FnCalls!F87</f>
        <v>MMM 2016</v>
      </c>
      <c r="CK17" s="46" t="str">
        <f>ZZZ__FnCalls!F88</f>
        <v>MMM 2016</v>
      </c>
      <c r="CL17" s="46" t="str">
        <f>ZZZ__FnCalls!F89</f>
        <v>MMM 2016</v>
      </c>
      <c r="CM17" s="46" t="str">
        <f>ZZZ__FnCalls!F90</f>
        <v>MMM 2016</v>
      </c>
      <c r="CN17" s="47" t="str">
        <f>ZZZ__FnCalls!F79</f>
        <v>MMM 2016</v>
      </c>
      <c r="CO17" s="46" t="str">
        <f>ZZZ__FnCalls!F91</f>
        <v>MMM 2017</v>
      </c>
      <c r="CP17" s="46" t="str">
        <f>ZZZ__FnCalls!F92</f>
        <v>MMM 2017</v>
      </c>
      <c r="CQ17" s="46" t="str">
        <f>ZZZ__FnCalls!F93</f>
        <v>MMM 2017</v>
      </c>
      <c r="CR17" s="46" t="str">
        <f>ZZZ__FnCalls!F94</f>
        <v>MMM 2017</v>
      </c>
      <c r="CS17" s="46" t="str">
        <f>ZZZ__FnCalls!F95</f>
        <v>MMM 2017</v>
      </c>
      <c r="CT17" s="46" t="str">
        <f>ZZZ__FnCalls!F96</f>
        <v>MMM 2017</v>
      </c>
      <c r="CU17" s="46" t="str">
        <f>ZZZ__FnCalls!F97</f>
        <v>MMM 2017</v>
      </c>
      <c r="CV17" s="46" t="str">
        <f>ZZZ__FnCalls!F98</f>
        <v>MMM 2017</v>
      </c>
      <c r="CW17" s="46" t="str">
        <f>ZZZ__FnCalls!F99</f>
        <v>MMM 2017</v>
      </c>
      <c r="CX17" s="46" t="str">
        <f>ZZZ__FnCalls!F100</f>
        <v>MMM 2017</v>
      </c>
      <c r="CY17" s="46" t="str">
        <f>ZZZ__FnCalls!F101</f>
        <v>MMM 2017</v>
      </c>
      <c r="CZ17" s="46" t="str">
        <f>ZZZ__FnCalls!F102</f>
        <v>MMM 2017</v>
      </c>
      <c r="DA17" s="47" t="str">
        <f>ZZZ__FnCalls!F91</f>
        <v>MMM 2017</v>
      </c>
      <c r="DB17" s="46" t="str">
        <f>ZZZ__FnCalls!F103</f>
        <v>MMM 2018</v>
      </c>
      <c r="DC17" s="46" t="str">
        <f>ZZZ__FnCalls!F104</f>
        <v>MMM 2018</v>
      </c>
      <c r="DD17" s="46" t="str">
        <f>ZZZ__FnCalls!F105</f>
        <v>MMM 2018</v>
      </c>
      <c r="DE17" s="46" t="str">
        <f>ZZZ__FnCalls!F106</f>
        <v>MMM 2018</v>
      </c>
      <c r="DF17" s="46" t="str">
        <f>ZZZ__FnCalls!F107</f>
        <v>MMM 2018</v>
      </c>
      <c r="DG17" s="46" t="str">
        <f>ZZZ__FnCalls!F108</f>
        <v>MMM 2018</v>
      </c>
      <c r="DH17" s="46" t="str">
        <f>ZZZ__FnCalls!F109</f>
        <v>MMM 2018</v>
      </c>
      <c r="DI17" s="46" t="str">
        <f>ZZZ__FnCalls!F110</f>
        <v>MMM 2018</v>
      </c>
      <c r="DJ17" s="46" t="str">
        <f>ZZZ__FnCalls!F111</f>
        <v>MMM 2018</v>
      </c>
      <c r="DK17" s="46" t="str">
        <f>ZZZ__FnCalls!F112</f>
        <v>MMM 2018</v>
      </c>
      <c r="DL17" s="46" t="str">
        <f>ZZZ__FnCalls!F113</f>
        <v>MMM 2018</v>
      </c>
      <c r="DM17" s="46" t="str">
        <f>ZZZ__FnCalls!F114</f>
        <v>MMM 2018</v>
      </c>
      <c r="DN17" s="47" t="str">
        <f>ZZZ__FnCalls!F103</f>
        <v>MMM 2018</v>
      </c>
      <c r="DO17" s="46" t="str">
        <f>ZZZ__FnCalls!F115</f>
        <v>MMM 2019</v>
      </c>
      <c r="DP17" s="46" t="str">
        <f>ZZZ__FnCalls!F116</f>
        <v>MMM 2019</v>
      </c>
      <c r="DQ17" s="46" t="str">
        <f>ZZZ__FnCalls!F117</f>
        <v>MMM 2019</v>
      </c>
      <c r="DR17" s="46" t="str">
        <f>ZZZ__FnCalls!F118</f>
        <v>MMM 2019</v>
      </c>
      <c r="DS17" s="46" t="str">
        <f>ZZZ__FnCalls!F119</f>
        <v>MMM 2019</v>
      </c>
      <c r="DT17" s="46" t="str">
        <f>ZZZ__FnCalls!F120</f>
        <v>MMM 2019</v>
      </c>
      <c r="DU17" s="46" t="str">
        <f>ZZZ__FnCalls!F121</f>
        <v>MMM 2019</v>
      </c>
      <c r="DV17" s="46" t="str">
        <f>ZZZ__FnCalls!F122</f>
        <v>MMM 2019</v>
      </c>
      <c r="DW17" s="46" t="str">
        <f>ZZZ__FnCalls!F123</f>
        <v>MMM 2019</v>
      </c>
      <c r="DX17" s="46" t="str">
        <f>ZZZ__FnCalls!F124</f>
        <v>MMM 2019</v>
      </c>
      <c r="DY17" s="46" t="str">
        <f>ZZZ__FnCalls!F125</f>
        <v>MMM 2019</v>
      </c>
      <c r="DZ17" s="46" t="str">
        <f>ZZZ__FnCalls!F126</f>
        <v>MMM 2019</v>
      </c>
      <c r="EA17" s="47" t="str">
        <f>ZZZ__FnCalls!F115</f>
        <v>MMM 2019</v>
      </c>
      <c r="EB17" s="46" t="str">
        <f>ZZZ__FnCalls!F127</f>
        <v>MMM 2020</v>
      </c>
      <c r="EC17" s="46" t="str">
        <f>ZZZ__FnCalls!F128</f>
        <v>MMM 2020</v>
      </c>
      <c r="ED17" s="46" t="str">
        <f>ZZZ__FnCalls!F129</f>
        <v>MMM 2020</v>
      </c>
      <c r="EE17" s="46" t="str">
        <f>ZZZ__FnCalls!F130</f>
        <v>MMM 2020</v>
      </c>
      <c r="EF17" s="46" t="str">
        <f>ZZZ__FnCalls!F131</f>
        <v>MMM 2020</v>
      </c>
      <c r="EG17" s="46" t="str">
        <f>ZZZ__FnCalls!F132</f>
        <v>MMM 2020</v>
      </c>
      <c r="EH17" s="46" t="str">
        <f>ZZZ__FnCalls!F133</f>
        <v>MMM 2020</v>
      </c>
      <c r="EI17" s="46" t="str">
        <f>ZZZ__FnCalls!F134</f>
        <v>MMM 2020</v>
      </c>
      <c r="EJ17" s="46" t="str">
        <f>ZZZ__FnCalls!F135</f>
        <v>MMM 2020</v>
      </c>
      <c r="EK17" s="46" t="str">
        <f>ZZZ__FnCalls!F136</f>
        <v>MMM 2020</v>
      </c>
      <c r="EL17" s="46" t="str">
        <f>ZZZ__FnCalls!F137</f>
        <v>MMM 2020</v>
      </c>
      <c r="EM17" s="46" t="str">
        <f>ZZZ__FnCalls!F138</f>
        <v>MMM 2020</v>
      </c>
      <c r="EN17" s="47" t="str">
        <f>ZZZ__FnCalls!F127</f>
        <v>MMM 2020</v>
      </c>
    </row>
    <row r="18" spans="1:144" ht="12.75" customHeight="1" x14ac:dyDescent="0.2">
      <c r="A18" s="2" t="str">
        <f>"Consumption_1"</f>
        <v>Consumption_1</v>
      </c>
    </row>
    <row r="19" spans="1:144" ht="12.75" customHeight="1" x14ac:dyDescent="0.2">
      <c r="B19" s="19" t="str">
        <f>ZZZ__FnCalls!F7</f>
        <v>MMM 2010</v>
      </c>
      <c r="C19" s="20" t="str">
        <f>ZZZ__FnCalls!F8</f>
        <v>MMM 2010</v>
      </c>
      <c r="D19" s="20" t="str">
        <f>ZZZ__FnCalls!F9</f>
        <v>MMM 2010</v>
      </c>
      <c r="E19" s="20" t="str">
        <f>ZZZ__FnCalls!F10</f>
        <v>MMM 2010</v>
      </c>
      <c r="F19" s="20" t="str">
        <f>ZZZ__FnCalls!F11</f>
        <v>MMM 2010</v>
      </c>
      <c r="G19" s="20" t="str">
        <f>ZZZ__FnCalls!F12</f>
        <v>MMM 2010</v>
      </c>
      <c r="H19" s="20" t="str">
        <f>ZZZ__FnCalls!F13</f>
        <v>MMM 2010</v>
      </c>
      <c r="I19" s="20" t="str">
        <f>ZZZ__FnCalls!F14</f>
        <v>MMM 2010</v>
      </c>
      <c r="J19" s="20" t="str">
        <f>ZZZ__FnCalls!F15</f>
        <v>MMM 2010</v>
      </c>
      <c r="K19" s="20" t="str">
        <f>ZZZ__FnCalls!F16</f>
        <v>MMM 2010</v>
      </c>
      <c r="L19" s="20" t="str">
        <f>ZZZ__FnCalls!F17</f>
        <v>MMM 2010</v>
      </c>
      <c r="M19" s="20" t="str">
        <f>ZZZ__FnCalls!F18</f>
        <v>MMM 2010</v>
      </c>
      <c r="N19" s="21" t="str">
        <f>ZZZ__FnCalls!H7</f>
        <v>2010</v>
      </c>
      <c r="O19" s="20" t="str">
        <f>ZZZ__FnCalls!F19</f>
        <v>MMM 2011</v>
      </c>
      <c r="P19" s="20" t="str">
        <f>ZZZ__FnCalls!F20</f>
        <v>MMM 2011</v>
      </c>
      <c r="Q19" s="20" t="str">
        <f>ZZZ__FnCalls!F21</f>
        <v>MMM 2011</v>
      </c>
      <c r="R19" s="20" t="str">
        <f>ZZZ__FnCalls!F22</f>
        <v>MMM 2011</v>
      </c>
      <c r="S19" s="20" t="str">
        <f>ZZZ__FnCalls!F23</f>
        <v>MMM 2011</v>
      </c>
      <c r="T19" s="20" t="str">
        <f>ZZZ__FnCalls!F24</f>
        <v>MMM 2011</v>
      </c>
      <c r="U19" s="20" t="str">
        <f>ZZZ__FnCalls!F25</f>
        <v>MMM 2011</v>
      </c>
      <c r="V19" s="20" t="str">
        <f>ZZZ__FnCalls!F26</f>
        <v>MMM 2011</v>
      </c>
      <c r="W19" s="20" t="str">
        <f>ZZZ__FnCalls!F27</f>
        <v>MMM 2011</v>
      </c>
      <c r="X19" s="20" t="str">
        <f>ZZZ__FnCalls!F28</f>
        <v>MMM 2011</v>
      </c>
      <c r="Y19" s="20" t="str">
        <f>ZZZ__FnCalls!F29</f>
        <v>MMM 2011</v>
      </c>
      <c r="Z19" s="20" t="str">
        <f>ZZZ__FnCalls!F30</f>
        <v>MMM 2011</v>
      </c>
      <c r="AA19" s="21" t="str">
        <f>ZZZ__FnCalls!H19</f>
        <v>2011</v>
      </c>
      <c r="AB19" s="20" t="str">
        <f>ZZZ__FnCalls!F31</f>
        <v>MMM 2012</v>
      </c>
      <c r="AC19" s="20" t="str">
        <f>ZZZ__FnCalls!F32</f>
        <v>MMM 2012</v>
      </c>
      <c r="AD19" s="20" t="str">
        <f>ZZZ__FnCalls!F33</f>
        <v>MMM 2012</v>
      </c>
      <c r="AE19" s="20" t="str">
        <f>ZZZ__FnCalls!F34</f>
        <v>MMM 2012</v>
      </c>
      <c r="AF19" s="20" t="str">
        <f>ZZZ__FnCalls!F35</f>
        <v>MMM 2012</v>
      </c>
      <c r="AG19" s="20" t="str">
        <f>ZZZ__FnCalls!F36</f>
        <v>MMM 2012</v>
      </c>
      <c r="AH19" s="20" t="str">
        <f>ZZZ__FnCalls!F37</f>
        <v>MMM 2012</v>
      </c>
      <c r="AI19" s="20" t="str">
        <f>ZZZ__FnCalls!F38</f>
        <v>MMM 2012</v>
      </c>
      <c r="AJ19" s="20" t="str">
        <f>ZZZ__FnCalls!F39</f>
        <v>MMM 2012</v>
      </c>
      <c r="AK19" s="20" t="str">
        <f>ZZZ__FnCalls!F40</f>
        <v>MMM 2012</v>
      </c>
      <c r="AL19" s="20" t="str">
        <f>ZZZ__FnCalls!F41</f>
        <v>MMM 2012</v>
      </c>
      <c r="AM19" s="20" t="str">
        <f>ZZZ__FnCalls!F42</f>
        <v>MMM 2012</v>
      </c>
      <c r="AN19" s="21" t="str">
        <f>ZZZ__FnCalls!H31</f>
        <v>2012</v>
      </c>
      <c r="AO19" s="20" t="str">
        <f>ZZZ__FnCalls!F43</f>
        <v>MMM 2013</v>
      </c>
      <c r="AP19" s="20" t="str">
        <f>ZZZ__FnCalls!F44</f>
        <v>MMM 2013</v>
      </c>
      <c r="AQ19" s="20" t="str">
        <f>ZZZ__FnCalls!F45</f>
        <v>MMM 2013</v>
      </c>
      <c r="AR19" s="20" t="str">
        <f>ZZZ__FnCalls!F46</f>
        <v>MMM 2013</v>
      </c>
      <c r="AS19" s="20" t="str">
        <f>ZZZ__FnCalls!F47</f>
        <v>MMM 2013</v>
      </c>
      <c r="AT19" s="20" t="str">
        <f>ZZZ__FnCalls!F48</f>
        <v>MMM 2013</v>
      </c>
      <c r="AU19" s="20" t="str">
        <f>ZZZ__FnCalls!F49</f>
        <v>MMM 2013</v>
      </c>
      <c r="AV19" s="20" t="str">
        <f>ZZZ__FnCalls!F50</f>
        <v>MMM 2013</v>
      </c>
      <c r="AW19" s="20" t="str">
        <f>ZZZ__FnCalls!F51</f>
        <v>MMM 2013</v>
      </c>
      <c r="AX19" s="20" t="str">
        <f>ZZZ__FnCalls!F52</f>
        <v>MMM 2013</v>
      </c>
      <c r="AY19" s="20" t="str">
        <f>ZZZ__FnCalls!F53</f>
        <v>MMM 2013</v>
      </c>
      <c r="AZ19" s="20" t="str">
        <f>ZZZ__FnCalls!F54</f>
        <v>MMM 2013</v>
      </c>
      <c r="BA19" s="21" t="str">
        <f>ZZZ__FnCalls!H43</f>
        <v>2013</v>
      </c>
      <c r="BB19" s="20" t="str">
        <f>ZZZ__FnCalls!F55</f>
        <v>MMM 2014</v>
      </c>
      <c r="BC19" s="20" t="str">
        <f>ZZZ__FnCalls!F56</f>
        <v>MMM 2014</v>
      </c>
      <c r="BD19" s="20" t="str">
        <f>ZZZ__FnCalls!F57</f>
        <v>MMM 2014</v>
      </c>
      <c r="BE19" s="20" t="str">
        <f>ZZZ__FnCalls!F58</f>
        <v>MMM 2014</v>
      </c>
      <c r="BF19" s="20" t="str">
        <f>ZZZ__FnCalls!F59</f>
        <v>MMM 2014</v>
      </c>
      <c r="BG19" s="20" t="str">
        <f>ZZZ__FnCalls!F60</f>
        <v>MMM 2014</v>
      </c>
      <c r="BH19" s="20" t="str">
        <f>ZZZ__FnCalls!F61</f>
        <v>MMM 2014</v>
      </c>
      <c r="BI19" s="20" t="str">
        <f>ZZZ__FnCalls!F62</f>
        <v>MMM 2014</v>
      </c>
      <c r="BJ19" s="20" t="str">
        <f>ZZZ__FnCalls!F63</f>
        <v>MMM 2014</v>
      </c>
      <c r="BK19" s="20" t="str">
        <f>ZZZ__FnCalls!F64</f>
        <v>MMM 2014</v>
      </c>
      <c r="BL19" s="20" t="str">
        <f>ZZZ__FnCalls!F65</f>
        <v>MMM 2014</v>
      </c>
      <c r="BM19" s="20" t="str">
        <f>ZZZ__FnCalls!F66</f>
        <v>MMM 2014</v>
      </c>
      <c r="BN19" s="21" t="str">
        <f>ZZZ__FnCalls!H55</f>
        <v>2014</v>
      </c>
      <c r="BO19" s="20" t="str">
        <f>ZZZ__FnCalls!F67</f>
        <v>MMM 2015</v>
      </c>
      <c r="BP19" s="20" t="str">
        <f>ZZZ__FnCalls!F68</f>
        <v>MMM 2015</v>
      </c>
      <c r="BQ19" s="20" t="str">
        <f>ZZZ__FnCalls!F69</f>
        <v>MMM 2015</v>
      </c>
      <c r="BR19" s="20" t="str">
        <f>ZZZ__FnCalls!F70</f>
        <v>MMM 2015</v>
      </c>
      <c r="BS19" s="20" t="str">
        <f>ZZZ__FnCalls!F71</f>
        <v>MMM 2015</v>
      </c>
      <c r="BT19" s="20" t="str">
        <f>ZZZ__FnCalls!F72</f>
        <v>MMM 2015</v>
      </c>
      <c r="BU19" s="20" t="str">
        <f>ZZZ__FnCalls!F73</f>
        <v>MMM 2015</v>
      </c>
      <c r="BV19" s="20" t="str">
        <f>ZZZ__FnCalls!F74</f>
        <v>MMM 2015</v>
      </c>
      <c r="BW19" s="20" t="str">
        <f>ZZZ__FnCalls!F75</f>
        <v>MMM 2015</v>
      </c>
      <c r="BX19" s="20" t="str">
        <f>ZZZ__FnCalls!F76</f>
        <v>MMM 2015</v>
      </c>
      <c r="BY19" s="20" t="str">
        <f>ZZZ__FnCalls!F77</f>
        <v>MMM 2015</v>
      </c>
      <c r="BZ19" s="20" t="str">
        <f>ZZZ__FnCalls!F78</f>
        <v>MMM 2015</v>
      </c>
      <c r="CA19" s="21" t="str">
        <f>ZZZ__FnCalls!H67</f>
        <v>2015</v>
      </c>
      <c r="CB19" s="20" t="str">
        <f>ZZZ__FnCalls!F79</f>
        <v>MMM 2016</v>
      </c>
      <c r="CC19" s="20" t="str">
        <f>ZZZ__FnCalls!F80</f>
        <v>MMM 2016</v>
      </c>
      <c r="CD19" s="20" t="str">
        <f>ZZZ__FnCalls!F81</f>
        <v>MMM 2016</v>
      </c>
      <c r="CE19" s="20" t="str">
        <f>ZZZ__FnCalls!F82</f>
        <v>MMM 2016</v>
      </c>
      <c r="CF19" s="20" t="str">
        <f>ZZZ__FnCalls!F83</f>
        <v>MMM 2016</v>
      </c>
      <c r="CG19" s="20" t="str">
        <f>ZZZ__FnCalls!F84</f>
        <v>MMM 2016</v>
      </c>
      <c r="CH19" s="20" t="str">
        <f>ZZZ__FnCalls!F85</f>
        <v>MMM 2016</v>
      </c>
      <c r="CI19" s="20" t="str">
        <f>ZZZ__FnCalls!F86</f>
        <v>MMM 2016</v>
      </c>
      <c r="CJ19" s="20" t="str">
        <f>ZZZ__FnCalls!F87</f>
        <v>MMM 2016</v>
      </c>
      <c r="CK19" s="20" t="str">
        <f>ZZZ__FnCalls!F88</f>
        <v>MMM 2016</v>
      </c>
      <c r="CL19" s="20" t="str">
        <f>ZZZ__FnCalls!F89</f>
        <v>MMM 2016</v>
      </c>
      <c r="CM19" s="20" t="str">
        <f>ZZZ__FnCalls!F90</f>
        <v>MMM 2016</v>
      </c>
      <c r="CN19" s="21" t="str">
        <f>ZZZ__FnCalls!H79</f>
        <v>2016</v>
      </c>
      <c r="CO19" s="20" t="str">
        <f>ZZZ__FnCalls!F91</f>
        <v>MMM 2017</v>
      </c>
      <c r="CP19" s="20" t="str">
        <f>ZZZ__FnCalls!F92</f>
        <v>MMM 2017</v>
      </c>
      <c r="CQ19" s="20" t="str">
        <f>ZZZ__FnCalls!F93</f>
        <v>MMM 2017</v>
      </c>
      <c r="CR19" s="20" t="str">
        <f>ZZZ__FnCalls!F94</f>
        <v>MMM 2017</v>
      </c>
      <c r="CS19" s="20" t="str">
        <f>ZZZ__FnCalls!F95</f>
        <v>MMM 2017</v>
      </c>
      <c r="CT19" s="20" t="str">
        <f>ZZZ__FnCalls!F96</f>
        <v>MMM 2017</v>
      </c>
      <c r="CU19" s="20" t="str">
        <f>ZZZ__FnCalls!F97</f>
        <v>MMM 2017</v>
      </c>
      <c r="CV19" s="20" t="str">
        <f>ZZZ__FnCalls!F98</f>
        <v>MMM 2017</v>
      </c>
      <c r="CW19" s="20" t="str">
        <f>ZZZ__FnCalls!F99</f>
        <v>MMM 2017</v>
      </c>
      <c r="CX19" s="20" t="str">
        <f>ZZZ__FnCalls!F100</f>
        <v>MMM 2017</v>
      </c>
      <c r="CY19" s="20" t="str">
        <f>ZZZ__FnCalls!F101</f>
        <v>MMM 2017</v>
      </c>
      <c r="CZ19" s="20" t="str">
        <f>ZZZ__FnCalls!F102</f>
        <v>MMM 2017</v>
      </c>
      <c r="DA19" s="21" t="str">
        <f>ZZZ__FnCalls!H91</f>
        <v>2017</v>
      </c>
      <c r="DB19" s="20" t="str">
        <f>ZZZ__FnCalls!F103</f>
        <v>MMM 2018</v>
      </c>
      <c r="DC19" s="20" t="str">
        <f>ZZZ__FnCalls!F104</f>
        <v>MMM 2018</v>
      </c>
      <c r="DD19" s="20" t="str">
        <f>ZZZ__FnCalls!F105</f>
        <v>MMM 2018</v>
      </c>
      <c r="DE19" s="20" t="str">
        <f>ZZZ__FnCalls!F106</f>
        <v>MMM 2018</v>
      </c>
      <c r="DF19" s="20" t="str">
        <f>ZZZ__FnCalls!F107</f>
        <v>MMM 2018</v>
      </c>
      <c r="DG19" s="20" t="str">
        <f>ZZZ__FnCalls!F108</f>
        <v>MMM 2018</v>
      </c>
      <c r="DH19" s="20" t="str">
        <f>ZZZ__FnCalls!F109</f>
        <v>MMM 2018</v>
      </c>
      <c r="DI19" s="20" t="str">
        <f>ZZZ__FnCalls!F110</f>
        <v>MMM 2018</v>
      </c>
      <c r="DJ19" s="20" t="str">
        <f>ZZZ__FnCalls!F111</f>
        <v>MMM 2018</v>
      </c>
      <c r="DK19" s="20" t="str">
        <f>ZZZ__FnCalls!F112</f>
        <v>MMM 2018</v>
      </c>
      <c r="DL19" s="20" t="str">
        <f>ZZZ__FnCalls!F113</f>
        <v>MMM 2018</v>
      </c>
      <c r="DM19" s="20" t="str">
        <f>ZZZ__FnCalls!F114</f>
        <v>MMM 2018</v>
      </c>
      <c r="DN19" s="21" t="str">
        <f>ZZZ__FnCalls!H103</f>
        <v>2018</v>
      </c>
      <c r="DO19" s="20" t="str">
        <f>ZZZ__FnCalls!F115</f>
        <v>MMM 2019</v>
      </c>
      <c r="DP19" s="20" t="str">
        <f>ZZZ__FnCalls!F116</f>
        <v>MMM 2019</v>
      </c>
      <c r="DQ19" s="20" t="str">
        <f>ZZZ__FnCalls!F117</f>
        <v>MMM 2019</v>
      </c>
      <c r="DR19" s="20" t="str">
        <f>ZZZ__FnCalls!F118</f>
        <v>MMM 2019</v>
      </c>
      <c r="DS19" s="20" t="str">
        <f>ZZZ__FnCalls!F119</f>
        <v>MMM 2019</v>
      </c>
      <c r="DT19" s="20" t="str">
        <f>ZZZ__FnCalls!F120</f>
        <v>MMM 2019</v>
      </c>
      <c r="DU19" s="20" t="str">
        <f>ZZZ__FnCalls!F121</f>
        <v>MMM 2019</v>
      </c>
      <c r="DV19" s="20" t="str">
        <f>ZZZ__FnCalls!F122</f>
        <v>MMM 2019</v>
      </c>
      <c r="DW19" s="20" t="str">
        <f>ZZZ__FnCalls!F123</f>
        <v>MMM 2019</v>
      </c>
      <c r="DX19" s="20" t="str">
        <f>ZZZ__FnCalls!F124</f>
        <v>MMM 2019</v>
      </c>
      <c r="DY19" s="20" t="str">
        <f>ZZZ__FnCalls!F125</f>
        <v>MMM 2019</v>
      </c>
      <c r="DZ19" s="20" t="str">
        <f>ZZZ__FnCalls!F126</f>
        <v>MMM 2019</v>
      </c>
      <c r="EA19" s="21" t="str">
        <f>ZZZ__FnCalls!H115</f>
        <v>2019</v>
      </c>
      <c r="EB19" s="20" t="str">
        <f>ZZZ__FnCalls!F127</f>
        <v>MMM 2020</v>
      </c>
      <c r="EC19" s="20" t="str">
        <f>ZZZ__FnCalls!F128</f>
        <v>MMM 2020</v>
      </c>
      <c r="ED19" s="20" t="str">
        <f>ZZZ__FnCalls!F129</f>
        <v>MMM 2020</v>
      </c>
      <c r="EE19" s="20" t="str">
        <f>ZZZ__FnCalls!F130</f>
        <v>MMM 2020</v>
      </c>
      <c r="EF19" s="20" t="str">
        <f>ZZZ__FnCalls!F131</f>
        <v>MMM 2020</v>
      </c>
      <c r="EG19" s="20" t="str">
        <f>ZZZ__FnCalls!F132</f>
        <v>MMM 2020</v>
      </c>
      <c r="EH19" s="20" t="str">
        <f>ZZZ__FnCalls!F133</f>
        <v>MMM 2020</v>
      </c>
      <c r="EI19" s="20" t="str">
        <f>ZZZ__FnCalls!F134</f>
        <v>MMM 2020</v>
      </c>
      <c r="EJ19" s="20" t="str">
        <f>ZZZ__FnCalls!F135</f>
        <v>MMM 2020</v>
      </c>
      <c r="EK19" s="20" t="str">
        <f>ZZZ__FnCalls!F136</f>
        <v>MMM 2020</v>
      </c>
      <c r="EL19" s="20" t="str">
        <f>ZZZ__FnCalls!F137</f>
        <v>MMM 2020</v>
      </c>
      <c r="EM19" s="20" t="str">
        <f>ZZZ__FnCalls!F138</f>
        <v>MMM 2020</v>
      </c>
      <c r="EN19" s="21" t="str">
        <f>ZZZ__FnCalls!H127</f>
        <v>2020</v>
      </c>
    </row>
    <row r="20" spans="1:144" ht="12.75" customHeight="1" x14ac:dyDescent="0.2">
      <c r="A20" s="5"/>
      <c r="B20" s="46">
        <f>ZZZ__FnCalls!A7</f>
        <v>40179</v>
      </c>
      <c r="C20" s="46">
        <f>ZZZ__FnCalls!A8</f>
        <v>40210</v>
      </c>
      <c r="D20" s="46">
        <f>ZZZ__FnCalls!A9</f>
        <v>40238</v>
      </c>
      <c r="E20" s="46">
        <f>ZZZ__FnCalls!A10</f>
        <v>40269</v>
      </c>
      <c r="F20" s="46">
        <f>ZZZ__FnCalls!A11</f>
        <v>40299</v>
      </c>
      <c r="G20" s="46">
        <f>ZZZ__FnCalls!A12</f>
        <v>40330</v>
      </c>
      <c r="H20" s="46">
        <f>ZZZ__FnCalls!A13</f>
        <v>40360</v>
      </c>
      <c r="I20" s="46">
        <f>ZZZ__FnCalls!A14</f>
        <v>40391</v>
      </c>
      <c r="J20" s="46">
        <f>ZZZ__FnCalls!A15</f>
        <v>40422</v>
      </c>
      <c r="K20" s="46">
        <f>ZZZ__FnCalls!A16</f>
        <v>40452</v>
      </c>
      <c r="L20" s="46">
        <f>ZZZ__FnCalls!A17</f>
        <v>40483</v>
      </c>
      <c r="M20" s="46">
        <f>ZZZ__FnCalls!A18</f>
        <v>40513</v>
      </c>
      <c r="N20" s="47">
        <f>ZZZ__FnCalls!A7</f>
        <v>40179</v>
      </c>
      <c r="O20" s="46">
        <f>ZZZ__FnCalls!A19</f>
        <v>40544</v>
      </c>
      <c r="P20" s="46">
        <f>ZZZ__FnCalls!A20</f>
        <v>40575</v>
      </c>
      <c r="Q20" s="46">
        <f>ZZZ__FnCalls!A21</f>
        <v>40603</v>
      </c>
      <c r="R20" s="46">
        <f>ZZZ__FnCalls!A22</f>
        <v>40634</v>
      </c>
      <c r="S20" s="46">
        <f>ZZZ__FnCalls!A23</f>
        <v>40664</v>
      </c>
      <c r="T20" s="46">
        <f>ZZZ__FnCalls!A24</f>
        <v>40695</v>
      </c>
      <c r="U20" s="46">
        <f>ZZZ__FnCalls!A25</f>
        <v>40725</v>
      </c>
      <c r="V20" s="46">
        <f>ZZZ__FnCalls!A26</f>
        <v>40756</v>
      </c>
      <c r="W20" s="46">
        <f>ZZZ__FnCalls!A27</f>
        <v>40787</v>
      </c>
      <c r="X20" s="46">
        <f>ZZZ__FnCalls!A28</f>
        <v>40817</v>
      </c>
      <c r="Y20" s="46">
        <f>ZZZ__FnCalls!A29</f>
        <v>40848</v>
      </c>
      <c r="Z20" s="46">
        <f>ZZZ__FnCalls!A30</f>
        <v>40878</v>
      </c>
      <c r="AA20" s="47">
        <f>ZZZ__FnCalls!A19</f>
        <v>40544</v>
      </c>
      <c r="AB20" s="46">
        <f>ZZZ__FnCalls!A31</f>
        <v>40909</v>
      </c>
      <c r="AC20" s="46">
        <f>ZZZ__FnCalls!A32</f>
        <v>40940</v>
      </c>
      <c r="AD20" s="46">
        <f>ZZZ__FnCalls!A33</f>
        <v>40969</v>
      </c>
      <c r="AE20" s="46">
        <f>ZZZ__FnCalls!A34</f>
        <v>41000</v>
      </c>
      <c r="AF20" s="46">
        <f>ZZZ__FnCalls!A35</f>
        <v>41030</v>
      </c>
      <c r="AG20" s="46">
        <f>ZZZ__FnCalls!A36</f>
        <v>41061</v>
      </c>
      <c r="AH20" s="46">
        <f>ZZZ__FnCalls!A37</f>
        <v>41091</v>
      </c>
      <c r="AI20" s="46">
        <f>ZZZ__FnCalls!A38</f>
        <v>41122</v>
      </c>
      <c r="AJ20" s="46">
        <f>ZZZ__FnCalls!A39</f>
        <v>41153</v>
      </c>
      <c r="AK20" s="46">
        <f>ZZZ__FnCalls!A40</f>
        <v>41183</v>
      </c>
      <c r="AL20" s="46">
        <f>ZZZ__FnCalls!A41</f>
        <v>41214</v>
      </c>
      <c r="AM20" s="46">
        <f>ZZZ__FnCalls!A42</f>
        <v>41244</v>
      </c>
      <c r="AN20" s="47">
        <f>ZZZ__FnCalls!A31</f>
        <v>40909</v>
      </c>
      <c r="AO20" s="46">
        <f>ZZZ__FnCalls!A43</f>
        <v>41275</v>
      </c>
      <c r="AP20" s="46">
        <f>ZZZ__FnCalls!A44</f>
        <v>41306</v>
      </c>
      <c r="AQ20" s="46">
        <f>ZZZ__FnCalls!A45</f>
        <v>41334</v>
      </c>
      <c r="AR20" s="46">
        <f>ZZZ__FnCalls!A46</f>
        <v>41365</v>
      </c>
      <c r="AS20" s="46">
        <f>ZZZ__FnCalls!A47</f>
        <v>41395</v>
      </c>
      <c r="AT20" s="46">
        <f>ZZZ__FnCalls!A48</f>
        <v>41426</v>
      </c>
      <c r="AU20" s="46">
        <f>ZZZ__FnCalls!A49</f>
        <v>41456</v>
      </c>
      <c r="AV20" s="46">
        <f>ZZZ__FnCalls!A50</f>
        <v>41487</v>
      </c>
      <c r="AW20" s="46">
        <f>ZZZ__FnCalls!A51</f>
        <v>41518</v>
      </c>
      <c r="AX20" s="46">
        <f>ZZZ__FnCalls!A52</f>
        <v>41548</v>
      </c>
      <c r="AY20" s="46">
        <f>ZZZ__FnCalls!A53</f>
        <v>41579</v>
      </c>
      <c r="AZ20" s="46">
        <f>ZZZ__FnCalls!A54</f>
        <v>41609</v>
      </c>
      <c r="BA20" s="47">
        <f>ZZZ__FnCalls!A43</f>
        <v>41275</v>
      </c>
      <c r="BB20" s="46">
        <f>ZZZ__FnCalls!A55</f>
        <v>41640</v>
      </c>
      <c r="BC20" s="46">
        <f>ZZZ__FnCalls!A56</f>
        <v>41671</v>
      </c>
      <c r="BD20" s="46">
        <f>ZZZ__FnCalls!A57</f>
        <v>41699</v>
      </c>
      <c r="BE20" s="46">
        <f>ZZZ__FnCalls!A58</f>
        <v>41730</v>
      </c>
      <c r="BF20" s="46">
        <f>ZZZ__FnCalls!A59</f>
        <v>41760</v>
      </c>
      <c r="BG20" s="46">
        <f>ZZZ__FnCalls!A60</f>
        <v>41791</v>
      </c>
      <c r="BH20" s="46">
        <f>ZZZ__FnCalls!A61</f>
        <v>41821</v>
      </c>
      <c r="BI20" s="46">
        <f>ZZZ__FnCalls!A62</f>
        <v>41852</v>
      </c>
      <c r="BJ20" s="46">
        <f>ZZZ__FnCalls!A63</f>
        <v>41883</v>
      </c>
      <c r="BK20" s="46">
        <f>ZZZ__FnCalls!A64</f>
        <v>41913</v>
      </c>
      <c r="BL20" s="46">
        <f>ZZZ__FnCalls!A65</f>
        <v>41944</v>
      </c>
      <c r="BM20" s="46">
        <f>ZZZ__FnCalls!A66</f>
        <v>41974</v>
      </c>
      <c r="BN20" s="47">
        <f>ZZZ__FnCalls!A55</f>
        <v>41640</v>
      </c>
      <c r="BO20" s="46">
        <f>ZZZ__FnCalls!A67</f>
        <v>42005</v>
      </c>
      <c r="BP20" s="46">
        <f>ZZZ__FnCalls!A68</f>
        <v>42036</v>
      </c>
      <c r="BQ20" s="46">
        <f>ZZZ__FnCalls!A69</f>
        <v>42064</v>
      </c>
      <c r="BR20" s="46">
        <f>ZZZ__FnCalls!A70</f>
        <v>42095</v>
      </c>
      <c r="BS20" s="46">
        <f>ZZZ__FnCalls!A71</f>
        <v>42125</v>
      </c>
      <c r="BT20" s="46">
        <f>ZZZ__FnCalls!A72</f>
        <v>42156</v>
      </c>
      <c r="BU20" s="46">
        <f>ZZZ__FnCalls!A73</f>
        <v>42186</v>
      </c>
      <c r="BV20" s="46">
        <f>ZZZ__FnCalls!A74</f>
        <v>42217</v>
      </c>
      <c r="BW20" s="46">
        <f>ZZZ__FnCalls!A75</f>
        <v>42248</v>
      </c>
      <c r="BX20" s="46">
        <f>ZZZ__FnCalls!A76</f>
        <v>42278</v>
      </c>
      <c r="BY20" s="46">
        <f>ZZZ__FnCalls!A77</f>
        <v>42309</v>
      </c>
      <c r="BZ20" s="46">
        <f>ZZZ__FnCalls!A78</f>
        <v>42339</v>
      </c>
      <c r="CA20" s="47">
        <f>ZZZ__FnCalls!A67</f>
        <v>42005</v>
      </c>
      <c r="CB20" s="46">
        <f>ZZZ__FnCalls!A79</f>
        <v>42370</v>
      </c>
      <c r="CC20" s="46">
        <f>ZZZ__FnCalls!A80</f>
        <v>42401</v>
      </c>
      <c r="CD20" s="46">
        <f>ZZZ__FnCalls!A81</f>
        <v>42430</v>
      </c>
      <c r="CE20" s="46">
        <f>ZZZ__FnCalls!A82</f>
        <v>42461</v>
      </c>
      <c r="CF20" s="46">
        <f>ZZZ__FnCalls!A83</f>
        <v>42491</v>
      </c>
      <c r="CG20" s="46">
        <f>ZZZ__FnCalls!A84</f>
        <v>42522</v>
      </c>
      <c r="CH20" s="46">
        <f>ZZZ__FnCalls!A85</f>
        <v>42552</v>
      </c>
      <c r="CI20" s="46">
        <f>ZZZ__FnCalls!A86</f>
        <v>42583</v>
      </c>
      <c r="CJ20" s="46">
        <f>ZZZ__FnCalls!A87</f>
        <v>42614</v>
      </c>
      <c r="CK20" s="46">
        <f>ZZZ__FnCalls!A88</f>
        <v>42644</v>
      </c>
      <c r="CL20" s="46">
        <f>ZZZ__FnCalls!A89</f>
        <v>42675</v>
      </c>
      <c r="CM20" s="46">
        <f>ZZZ__FnCalls!A90</f>
        <v>42705</v>
      </c>
      <c r="CN20" s="47">
        <f>ZZZ__FnCalls!A79</f>
        <v>42370</v>
      </c>
      <c r="CO20" s="46">
        <f>ZZZ__FnCalls!A91</f>
        <v>42736</v>
      </c>
      <c r="CP20" s="46">
        <f>ZZZ__FnCalls!A92</f>
        <v>42767</v>
      </c>
      <c r="CQ20" s="46">
        <f>ZZZ__FnCalls!A93</f>
        <v>42795</v>
      </c>
      <c r="CR20" s="46">
        <f>ZZZ__FnCalls!A94</f>
        <v>42826</v>
      </c>
      <c r="CS20" s="46">
        <f>ZZZ__FnCalls!A95</f>
        <v>42856</v>
      </c>
      <c r="CT20" s="46">
        <f>ZZZ__FnCalls!A96</f>
        <v>42887</v>
      </c>
      <c r="CU20" s="46">
        <f>ZZZ__FnCalls!A97</f>
        <v>42917</v>
      </c>
      <c r="CV20" s="46">
        <f>ZZZ__FnCalls!A98</f>
        <v>42948</v>
      </c>
      <c r="CW20" s="46">
        <f>ZZZ__FnCalls!A99</f>
        <v>42979</v>
      </c>
      <c r="CX20" s="46">
        <f>ZZZ__FnCalls!A100</f>
        <v>43009</v>
      </c>
      <c r="CY20" s="46">
        <f>ZZZ__FnCalls!A101</f>
        <v>43040</v>
      </c>
      <c r="CZ20" s="46">
        <f>ZZZ__FnCalls!A102</f>
        <v>43070</v>
      </c>
      <c r="DA20" s="47">
        <f>ZZZ__FnCalls!A91</f>
        <v>42736</v>
      </c>
      <c r="DB20" s="46">
        <f>ZZZ__FnCalls!A103</f>
        <v>43101</v>
      </c>
      <c r="DC20" s="46">
        <f>ZZZ__FnCalls!A104</f>
        <v>43132</v>
      </c>
      <c r="DD20" s="46">
        <f>ZZZ__FnCalls!A105</f>
        <v>43160</v>
      </c>
      <c r="DE20" s="46">
        <f>ZZZ__FnCalls!A106</f>
        <v>43191</v>
      </c>
      <c r="DF20" s="46">
        <f>ZZZ__FnCalls!A107</f>
        <v>43221</v>
      </c>
      <c r="DG20" s="46">
        <f>ZZZ__FnCalls!A108</f>
        <v>43252</v>
      </c>
      <c r="DH20" s="46">
        <f>ZZZ__FnCalls!A109</f>
        <v>43282</v>
      </c>
      <c r="DI20" s="46">
        <f>ZZZ__FnCalls!A110</f>
        <v>43313</v>
      </c>
      <c r="DJ20" s="46">
        <f>ZZZ__FnCalls!A111</f>
        <v>43344</v>
      </c>
      <c r="DK20" s="46">
        <f>ZZZ__FnCalls!A112</f>
        <v>43374</v>
      </c>
      <c r="DL20" s="46">
        <f>ZZZ__FnCalls!A113</f>
        <v>43405</v>
      </c>
      <c r="DM20" s="46">
        <f>ZZZ__FnCalls!A114</f>
        <v>43435</v>
      </c>
      <c r="DN20" s="47">
        <f>ZZZ__FnCalls!A103</f>
        <v>43101</v>
      </c>
      <c r="DO20" s="46">
        <f>ZZZ__FnCalls!A115</f>
        <v>43466</v>
      </c>
      <c r="DP20" s="46">
        <f>ZZZ__FnCalls!A116</f>
        <v>43497</v>
      </c>
      <c r="DQ20" s="46">
        <f>ZZZ__FnCalls!A117</f>
        <v>43525</v>
      </c>
      <c r="DR20" s="46">
        <f>ZZZ__FnCalls!A118</f>
        <v>43556</v>
      </c>
      <c r="DS20" s="46">
        <f>ZZZ__FnCalls!A119</f>
        <v>43586</v>
      </c>
      <c r="DT20" s="46">
        <f>ZZZ__FnCalls!A120</f>
        <v>43617</v>
      </c>
      <c r="DU20" s="46">
        <f>ZZZ__FnCalls!A121</f>
        <v>43647</v>
      </c>
      <c r="DV20" s="46">
        <f>ZZZ__FnCalls!A122</f>
        <v>43678</v>
      </c>
      <c r="DW20" s="46">
        <f>ZZZ__FnCalls!A123</f>
        <v>43709</v>
      </c>
      <c r="DX20" s="46">
        <f>ZZZ__FnCalls!A124</f>
        <v>43739</v>
      </c>
      <c r="DY20" s="46">
        <f>ZZZ__FnCalls!A125</f>
        <v>43770</v>
      </c>
      <c r="DZ20" s="46">
        <f>ZZZ__FnCalls!A126</f>
        <v>43800</v>
      </c>
      <c r="EA20" s="47">
        <f>ZZZ__FnCalls!A115</f>
        <v>43466</v>
      </c>
      <c r="EB20" s="46">
        <f>ZZZ__FnCalls!A127</f>
        <v>43831</v>
      </c>
      <c r="EC20" s="46">
        <f>ZZZ__FnCalls!A128</f>
        <v>43862</v>
      </c>
      <c r="ED20" s="46">
        <f>ZZZ__FnCalls!A129</f>
        <v>43891</v>
      </c>
      <c r="EE20" s="46">
        <f>ZZZ__FnCalls!A130</f>
        <v>43922</v>
      </c>
      <c r="EF20" s="46">
        <f>ZZZ__FnCalls!A131</f>
        <v>43952</v>
      </c>
      <c r="EG20" s="46">
        <f>ZZZ__FnCalls!A132</f>
        <v>43983</v>
      </c>
      <c r="EH20" s="46">
        <f>ZZZ__FnCalls!A133</f>
        <v>44013</v>
      </c>
      <c r="EI20" s="46">
        <f>ZZZ__FnCalls!A134</f>
        <v>44044</v>
      </c>
      <c r="EJ20" s="46">
        <f>ZZZ__FnCalls!A135</f>
        <v>44075</v>
      </c>
      <c r="EK20" s="46">
        <f>ZZZ__FnCalls!A136</f>
        <v>44105</v>
      </c>
      <c r="EL20" s="46">
        <f>ZZZ__FnCalls!A137</f>
        <v>44136</v>
      </c>
      <c r="EM20" s="46">
        <f>ZZZ__FnCalls!A138</f>
        <v>44166</v>
      </c>
      <c r="EN20" s="47">
        <f>ZZZ__FnCalls!A127</f>
        <v>43831</v>
      </c>
    </row>
    <row r="21" spans="1:144" ht="12.75" customHeight="1" x14ac:dyDescent="0.2">
      <c r="A21" s="2" t="str">
        <f>"Consumption_2"</f>
        <v>Consumption_2</v>
      </c>
    </row>
    <row r="22" spans="1:144" ht="12.75" customHeight="1" x14ac:dyDescent="0.2">
      <c r="B22" s="19" t="str">
        <f>ZZZ__FnCalls!F7</f>
        <v>MMM 2010</v>
      </c>
      <c r="C22" s="20" t="str">
        <f>ZZZ__FnCalls!F8</f>
        <v>MMM 2010</v>
      </c>
      <c r="D22" s="20" t="str">
        <f>ZZZ__FnCalls!F9</f>
        <v>MMM 2010</v>
      </c>
      <c r="E22" s="20" t="str">
        <f>ZZZ__FnCalls!F10</f>
        <v>MMM 2010</v>
      </c>
      <c r="F22" s="20" t="str">
        <f>ZZZ__FnCalls!F11</f>
        <v>MMM 2010</v>
      </c>
      <c r="G22" s="20" t="str">
        <f>ZZZ__FnCalls!F12</f>
        <v>MMM 2010</v>
      </c>
      <c r="H22" s="20" t="str">
        <f>ZZZ__FnCalls!F13</f>
        <v>MMM 2010</v>
      </c>
      <c r="I22" s="20" t="str">
        <f>ZZZ__FnCalls!F14</f>
        <v>MMM 2010</v>
      </c>
      <c r="J22" s="20" t="str">
        <f>ZZZ__FnCalls!F15</f>
        <v>MMM 2010</v>
      </c>
      <c r="K22" s="20" t="str">
        <f>ZZZ__FnCalls!F16</f>
        <v>MMM 2010</v>
      </c>
      <c r="L22" s="20" t="str">
        <f>ZZZ__FnCalls!F17</f>
        <v>MMM 2010</v>
      </c>
      <c r="M22" s="20" t="str">
        <f>ZZZ__FnCalls!F18</f>
        <v>MMM 2010</v>
      </c>
      <c r="N22" s="21" t="str">
        <f>ZZZ__FnCalls!H7</f>
        <v>2010</v>
      </c>
      <c r="O22" s="20" t="str">
        <f>ZZZ__FnCalls!F19</f>
        <v>MMM 2011</v>
      </c>
      <c r="P22" s="20" t="str">
        <f>ZZZ__FnCalls!F20</f>
        <v>MMM 2011</v>
      </c>
      <c r="Q22" s="20" t="str">
        <f>ZZZ__FnCalls!F21</f>
        <v>MMM 2011</v>
      </c>
      <c r="R22" s="20" t="str">
        <f>ZZZ__FnCalls!F22</f>
        <v>MMM 2011</v>
      </c>
      <c r="S22" s="20" t="str">
        <f>ZZZ__FnCalls!F23</f>
        <v>MMM 2011</v>
      </c>
      <c r="T22" s="20" t="str">
        <f>ZZZ__FnCalls!F24</f>
        <v>MMM 2011</v>
      </c>
      <c r="U22" s="20" t="str">
        <f>ZZZ__FnCalls!F25</f>
        <v>MMM 2011</v>
      </c>
      <c r="V22" s="20" t="str">
        <f>ZZZ__FnCalls!F26</f>
        <v>MMM 2011</v>
      </c>
      <c r="W22" s="20" t="str">
        <f>ZZZ__FnCalls!F27</f>
        <v>MMM 2011</v>
      </c>
      <c r="X22" s="20" t="str">
        <f>ZZZ__FnCalls!F28</f>
        <v>MMM 2011</v>
      </c>
      <c r="Y22" s="20" t="str">
        <f>ZZZ__FnCalls!F29</f>
        <v>MMM 2011</v>
      </c>
      <c r="Z22" s="20" t="str">
        <f>ZZZ__FnCalls!F30</f>
        <v>MMM 2011</v>
      </c>
      <c r="AA22" s="21" t="str">
        <f>ZZZ__FnCalls!H19</f>
        <v>2011</v>
      </c>
      <c r="AB22" s="20" t="str">
        <f>ZZZ__FnCalls!F31</f>
        <v>MMM 2012</v>
      </c>
      <c r="AC22" s="20" t="str">
        <f>ZZZ__FnCalls!F32</f>
        <v>MMM 2012</v>
      </c>
      <c r="AD22" s="20" t="str">
        <f>ZZZ__FnCalls!F33</f>
        <v>MMM 2012</v>
      </c>
      <c r="AE22" s="20" t="str">
        <f>ZZZ__FnCalls!F34</f>
        <v>MMM 2012</v>
      </c>
      <c r="AF22" s="20" t="str">
        <f>ZZZ__FnCalls!F35</f>
        <v>MMM 2012</v>
      </c>
      <c r="AG22" s="20" t="str">
        <f>ZZZ__FnCalls!F36</f>
        <v>MMM 2012</v>
      </c>
      <c r="AH22" s="20" t="str">
        <f>ZZZ__FnCalls!F37</f>
        <v>MMM 2012</v>
      </c>
      <c r="AI22" s="20" t="str">
        <f>ZZZ__FnCalls!F38</f>
        <v>MMM 2012</v>
      </c>
      <c r="AJ22" s="20" t="str">
        <f>ZZZ__FnCalls!F39</f>
        <v>MMM 2012</v>
      </c>
      <c r="AK22" s="20" t="str">
        <f>ZZZ__FnCalls!F40</f>
        <v>MMM 2012</v>
      </c>
      <c r="AL22" s="20" t="str">
        <f>ZZZ__FnCalls!F41</f>
        <v>MMM 2012</v>
      </c>
      <c r="AM22" s="20" t="str">
        <f>ZZZ__FnCalls!F42</f>
        <v>MMM 2012</v>
      </c>
      <c r="AN22" s="21" t="str">
        <f>ZZZ__FnCalls!H31</f>
        <v>2012</v>
      </c>
      <c r="AO22" s="20" t="str">
        <f>ZZZ__FnCalls!F43</f>
        <v>MMM 2013</v>
      </c>
      <c r="AP22" s="20" t="str">
        <f>ZZZ__FnCalls!F44</f>
        <v>MMM 2013</v>
      </c>
      <c r="AQ22" s="20" t="str">
        <f>ZZZ__FnCalls!F45</f>
        <v>MMM 2013</v>
      </c>
      <c r="AR22" s="20" t="str">
        <f>ZZZ__FnCalls!F46</f>
        <v>MMM 2013</v>
      </c>
      <c r="AS22" s="20" t="str">
        <f>ZZZ__FnCalls!F47</f>
        <v>MMM 2013</v>
      </c>
      <c r="AT22" s="20" t="str">
        <f>ZZZ__FnCalls!F48</f>
        <v>MMM 2013</v>
      </c>
      <c r="AU22" s="20" t="str">
        <f>ZZZ__FnCalls!F49</f>
        <v>MMM 2013</v>
      </c>
      <c r="AV22" s="20" t="str">
        <f>ZZZ__FnCalls!F50</f>
        <v>MMM 2013</v>
      </c>
      <c r="AW22" s="20" t="str">
        <f>ZZZ__FnCalls!F51</f>
        <v>MMM 2013</v>
      </c>
      <c r="AX22" s="20" t="str">
        <f>ZZZ__FnCalls!F52</f>
        <v>MMM 2013</v>
      </c>
      <c r="AY22" s="20" t="str">
        <f>ZZZ__FnCalls!F53</f>
        <v>MMM 2013</v>
      </c>
      <c r="AZ22" s="20" t="str">
        <f>ZZZ__FnCalls!F54</f>
        <v>MMM 2013</v>
      </c>
      <c r="BA22" s="21" t="str">
        <f>ZZZ__FnCalls!H43</f>
        <v>2013</v>
      </c>
      <c r="BB22" s="20" t="str">
        <f>ZZZ__FnCalls!F55</f>
        <v>MMM 2014</v>
      </c>
      <c r="BC22" s="20" t="str">
        <f>ZZZ__FnCalls!F56</f>
        <v>MMM 2014</v>
      </c>
      <c r="BD22" s="20" t="str">
        <f>ZZZ__FnCalls!F57</f>
        <v>MMM 2014</v>
      </c>
      <c r="BE22" s="20" t="str">
        <f>ZZZ__FnCalls!F58</f>
        <v>MMM 2014</v>
      </c>
      <c r="BF22" s="20" t="str">
        <f>ZZZ__FnCalls!F59</f>
        <v>MMM 2014</v>
      </c>
      <c r="BG22" s="20" t="str">
        <f>ZZZ__FnCalls!F60</f>
        <v>MMM 2014</v>
      </c>
      <c r="BH22" s="20" t="str">
        <f>ZZZ__FnCalls!F61</f>
        <v>MMM 2014</v>
      </c>
      <c r="BI22" s="20" t="str">
        <f>ZZZ__FnCalls!F62</f>
        <v>MMM 2014</v>
      </c>
      <c r="BJ22" s="20" t="str">
        <f>ZZZ__FnCalls!F63</f>
        <v>MMM 2014</v>
      </c>
      <c r="BK22" s="20" t="str">
        <f>ZZZ__FnCalls!F64</f>
        <v>MMM 2014</v>
      </c>
      <c r="BL22" s="20" t="str">
        <f>ZZZ__FnCalls!F65</f>
        <v>MMM 2014</v>
      </c>
      <c r="BM22" s="20" t="str">
        <f>ZZZ__FnCalls!F66</f>
        <v>MMM 2014</v>
      </c>
      <c r="BN22" s="21" t="str">
        <f>ZZZ__FnCalls!H55</f>
        <v>2014</v>
      </c>
      <c r="BO22" s="20" t="str">
        <f>ZZZ__FnCalls!F67</f>
        <v>MMM 2015</v>
      </c>
      <c r="BP22" s="20" t="str">
        <f>ZZZ__FnCalls!F68</f>
        <v>MMM 2015</v>
      </c>
      <c r="BQ22" s="20" t="str">
        <f>ZZZ__FnCalls!F69</f>
        <v>MMM 2015</v>
      </c>
      <c r="BR22" s="20" t="str">
        <f>ZZZ__FnCalls!F70</f>
        <v>MMM 2015</v>
      </c>
      <c r="BS22" s="20" t="str">
        <f>ZZZ__FnCalls!F71</f>
        <v>MMM 2015</v>
      </c>
      <c r="BT22" s="20" t="str">
        <f>ZZZ__FnCalls!F72</f>
        <v>MMM 2015</v>
      </c>
      <c r="BU22" s="20" t="str">
        <f>ZZZ__FnCalls!F73</f>
        <v>MMM 2015</v>
      </c>
      <c r="BV22" s="20" t="str">
        <f>ZZZ__FnCalls!F74</f>
        <v>MMM 2015</v>
      </c>
      <c r="BW22" s="20" t="str">
        <f>ZZZ__FnCalls!F75</f>
        <v>MMM 2015</v>
      </c>
      <c r="BX22" s="20" t="str">
        <f>ZZZ__FnCalls!F76</f>
        <v>MMM 2015</v>
      </c>
      <c r="BY22" s="20" t="str">
        <f>ZZZ__FnCalls!F77</f>
        <v>MMM 2015</v>
      </c>
      <c r="BZ22" s="20" t="str">
        <f>ZZZ__FnCalls!F78</f>
        <v>MMM 2015</v>
      </c>
      <c r="CA22" s="21" t="str">
        <f>ZZZ__FnCalls!H67</f>
        <v>2015</v>
      </c>
      <c r="CB22" s="20" t="str">
        <f>ZZZ__FnCalls!F79</f>
        <v>MMM 2016</v>
      </c>
      <c r="CC22" s="20" t="str">
        <f>ZZZ__FnCalls!F80</f>
        <v>MMM 2016</v>
      </c>
      <c r="CD22" s="20" t="str">
        <f>ZZZ__FnCalls!F81</f>
        <v>MMM 2016</v>
      </c>
      <c r="CE22" s="20" t="str">
        <f>ZZZ__FnCalls!F82</f>
        <v>MMM 2016</v>
      </c>
      <c r="CF22" s="20" t="str">
        <f>ZZZ__FnCalls!F83</f>
        <v>MMM 2016</v>
      </c>
      <c r="CG22" s="20" t="str">
        <f>ZZZ__FnCalls!F84</f>
        <v>MMM 2016</v>
      </c>
      <c r="CH22" s="20" t="str">
        <f>ZZZ__FnCalls!F85</f>
        <v>MMM 2016</v>
      </c>
      <c r="CI22" s="20" t="str">
        <f>ZZZ__FnCalls!F86</f>
        <v>MMM 2016</v>
      </c>
      <c r="CJ22" s="20" t="str">
        <f>ZZZ__FnCalls!F87</f>
        <v>MMM 2016</v>
      </c>
      <c r="CK22" s="20" t="str">
        <f>ZZZ__FnCalls!F88</f>
        <v>MMM 2016</v>
      </c>
      <c r="CL22" s="20" t="str">
        <f>ZZZ__FnCalls!F89</f>
        <v>MMM 2016</v>
      </c>
      <c r="CM22" s="20" t="str">
        <f>ZZZ__FnCalls!F90</f>
        <v>MMM 2016</v>
      </c>
      <c r="CN22" s="21" t="str">
        <f>ZZZ__FnCalls!H79</f>
        <v>2016</v>
      </c>
      <c r="CO22" s="20" t="str">
        <f>ZZZ__FnCalls!F91</f>
        <v>MMM 2017</v>
      </c>
      <c r="CP22" s="20" t="str">
        <f>ZZZ__FnCalls!F92</f>
        <v>MMM 2017</v>
      </c>
      <c r="CQ22" s="20" t="str">
        <f>ZZZ__FnCalls!F93</f>
        <v>MMM 2017</v>
      </c>
      <c r="CR22" s="20" t="str">
        <f>ZZZ__FnCalls!F94</f>
        <v>MMM 2017</v>
      </c>
      <c r="CS22" s="20" t="str">
        <f>ZZZ__FnCalls!F95</f>
        <v>MMM 2017</v>
      </c>
      <c r="CT22" s="20" t="str">
        <f>ZZZ__FnCalls!F96</f>
        <v>MMM 2017</v>
      </c>
      <c r="CU22" s="20" t="str">
        <f>ZZZ__FnCalls!F97</f>
        <v>MMM 2017</v>
      </c>
      <c r="CV22" s="20" t="str">
        <f>ZZZ__FnCalls!F98</f>
        <v>MMM 2017</v>
      </c>
      <c r="CW22" s="20" t="str">
        <f>ZZZ__FnCalls!F99</f>
        <v>MMM 2017</v>
      </c>
      <c r="CX22" s="20" t="str">
        <f>ZZZ__FnCalls!F100</f>
        <v>MMM 2017</v>
      </c>
      <c r="CY22" s="20" t="str">
        <f>ZZZ__FnCalls!F101</f>
        <v>MMM 2017</v>
      </c>
      <c r="CZ22" s="20" t="str">
        <f>ZZZ__FnCalls!F102</f>
        <v>MMM 2017</v>
      </c>
      <c r="DA22" s="21" t="str">
        <f>ZZZ__FnCalls!H91</f>
        <v>2017</v>
      </c>
      <c r="DB22" s="20" t="str">
        <f>ZZZ__FnCalls!F103</f>
        <v>MMM 2018</v>
      </c>
      <c r="DC22" s="20" t="str">
        <f>ZZZ__FnCalls!F104</f>
        <v>MMM 2018</v>
      </c>
      <c r="DD22" s="20" t="str">
        <f>ZZZ__FnCalls!F105</f>
        <v>MMM 2018</v>
      </c>
      <c r="DE22" s="20" t="str">
        <f>ZZZ__FnCalls!F106</f>
        <v>MMM 2018</v>
      </c>
      <c r="DF22" s="20" t="str">
        <f>ZZZ__FnCalls!F107</f>
        <v>MMM 2018</v>
      </c>
      <c r="DG22" s="20" t="str">
        <f>ZZZ__FnCalls!F108</f>
        <v>MMM 2018</v>
      </c>
      <c r="DH22" s="20" t="str">
        <f>ZZZ__FnCalls!F109</f>
        <v>MMM 2018</v>
      </c>
      <c r="DI22" s="20" t="str">
        <f>ZZZ__FnCalls!F110</f>
        <v>MMM 2018</v>
      </c>
      <c r="DJ22" s="20" t="str">
        <f>ZZZ__FnCalls!F111</f>
        <v>MMM 2018</v>
      </c>
      <c r="DK22" s="20" t="str">
        <f>ZZZ__FnCalls!F112</f>
        <v>MMM 2018</v>
      </c>
      <c r="DL22" s="20" t="str">
        <f>ZZZ__FnCalls!F113</f>
        <v>MMM 2018</v>
      </c>
      <c r="DM22" s="20" t="str">
        <f>ZZZ__FnCalls!F114</f>
        <v>MMM 2018</v>
      </c>
      <c r="DN22" s="21" t="str">
        <f>ZZZ__FnCalls!H103</f>
        <v>2018</v>
      </c>
      <c r="DO22" s="20" t="str">
        <f>ZZZ__FnCalls!F115</f>
        <v>MMM 2019</v>
      </c>
      <c r="DP22" s="20" t="str">
        <f>ZZZ__FnCalls!F116</f>
        <v>MMM 2019</v>
      </c>
      <c r="DQ22" s="20" t="str">
        <f>ZZZ__FnCalls!F117</f>
        <v>MMM 2019</v>
      </c>
      <c r="DR22" s="20" t="str">
        <f>ZZZ__FnCalls!F118</f>
        <v>MMM 2019</v>
      </c>
      <c r="DS22" s="20" t="str">
        <f>ZZZ__FnCalls!F119</f>
        <v>MMM 2019</v>
      </c>
      <c r="DT22" s="20" t="str">
        <f>ZZZ__FnCalls!F120</f>
        <v>MMM 2019</v>
      </c>
      <c r="DU22" s="20" t="str">
        <f>ZZZ__FnCalls!F121</f>
        <v>MMM 2019</v>
      </c>
      <c r="DV22" s="20" t="str">
        <f>ZZZ__FnCalls!F122</f>
        <v>MMM 2019</v>
      </c>
      <c r="DW22" s="20" t="str">
        <f>ZZZ__FnCalls!F123</f>
        <v>MMM 2019</v>
      </c>
      <c r="DX22" s="20" t="str">
        <f>ZZZ__FnCalls!F124</f>
        <v>MMM 2019</v>
      </c>
      <c r="DY22" s="20" t="str">
        <f>ZZZ__FnCalls!F125</f>
        <v>MMM 2019</v>
      </c>
      <c r="DZ22" s="20" t="str">
        <f>ZZZ__FnCalls!F126</f>
        <v>MMM 2019</v>
      </c>
      <c r="EA22" s="21" t="str">
        <f>ZZZ__FnCalls!H115</f>
        <v>2019</v>
      </c>
      <c r="EB22" s="20" t="str">
        <f>ZZZ__FnCalls!F127</f>
        <v>MMM 2020</v>
      </c>
      <c r="EC22" s="20" t="str">
        <f>ZZZ__FnCalls!F128</f>
        <v>MMM 2020</v>
      </c>
      <c r="ED22" s="20" t="str">
        <f>ZZZ__FnCalls!F129</f>
        <v>MMM 2020</v>
      </c>
      <c r="EE22" s="20" t="str">
        <f>ZZZ__FnCalls!F130</f>
        <v>MMM 2020</v>
      </c>
      <c r="EF22" s="20" t="str">
        <f>ZZZ__FnCalls!F131</f>
        <v>MMM 2020</v>
      </c>
      <c r="EG22" s="20" t="str">
        <f>ZZZ__FnCalls!F132</f>
        <v>MMM 2020</v>
      </c>
      <c r="EH22" s="20" t="str">
        <f>ZZZ__FnCalls!F133</f>
        <v>MMM 2020</v>
      </c>
      <c r="EI22" s="20" t="str">
        <f>ZZZ__FnCalls!F134</f>
        <v>MMM 2020</v>
      </c>
      <c r="EJ22" s="20" t="str">
        <f>ZZZ__FnCalls!F135</f>
        <v>MMM 2020</v>
      </c>
      <c r="EK22" s="20" t="str">
        <f>ZZZ__FnCalls!F136</f>
        <v>MMM 2020</v>
      </c>
      <c r="EL22" s="20" t="str">
        <f>ZZZ__FnCalls!F137</f>
        <v>MMM 2020</v>
      </c>
      <c r="EM22" s="20" t="str">
        <f>ZZZ__FnCalls!F138</f>
        <v>MMM 2020</v>
      </c>
      <c r="EN22" s="21" t="str">
        <f>ZZZ__FnCalls!H127</f>
        <v>2020</v>
      </c>
    </row>
    <row r="23" spans="1:144" ht="12.75" customHeight="1" x14ac:dyDescent="0.2">
      <c r="A23" s="5"/>
      <c r="B23" s="46" t="str">
        <f>ZZZ__FnCalls!F7</f>
        <v>MMM 2010</v>
      </c>
      <c r="C23" s="46" t="str">
        <f>ZZZ__FnCalls!F8</f>
        <v>MMM 2010</v>
      </c>
      <c r="D23" s="46" t="str">
        <f>ZZZ__FnCalls!F9</f>
        <v>MMM 2010</v>
      </c>
      <c r="E23" s="46" t="str">
        <f>ZZZ__FnCalls!F10</f>
        <v>MMM 2010</v>
      </c>
      <c r="F23" s="46" t="str">
        <f>ZZZ__FnCalls!F11</f>
        <v>MMM 2010</v>
      </c>
      <c r="G23" s="46" t="str">
        <f>ZZZ__FnCalls!F12</f>
        <v>MMM 2010</v>
      </c>
      <c r="H23" s="46" t="str">
        <f>ZZZ__FnCalls!F13</f>
        <v>MMM 2010</v>
      </c>
      <c r="I23" s="46" t="str">
        <f>ZZZ__FnCalls!F14</f>
        <v>MMM 2010</v>
      </c>
      <c r="J23" s="46" t="str">
        <f>ZZZ__FnCalls!F15</f>
        <v>MMM 2010</v>
      </c>
      <c r="K23" s="46" t="str">
        <f>ZZZ__FnCalls!F16</f>
        <v>MMM 2010</v>
      </c>
      <c r="L23" s="46" t="str">
        <f>ZZZ__FnCalls!F17</f>
        <v>MMM 2010</v>
      </c>
      <c r="M23" s="46" t="str">
        <f>ZZZ__FnCalls!F18</f>
        <v>MMM 2010</v>
      </c>
      <c r="N23" s="47" t="str">
        <f>ZZZ__FnCalls!F7</f>
        <v>MMM 2010</v>
      </c>
      <c r="O23" s="46" t="str">
        <f>ZZZ__FnCalls!F19</f>
        <v>MMM 2011</v>
      </c>
      <c r="P23" s="46" t="str">
        <f>ZZZ__FnCalls!F20</f>
        <v>MMM 2011</v>
      </c>
      <c r="Q23" s="46" t="str">
        <f>ZZZ__FnCalls!F21</f>
        <v>MMM 2011</v>
      </c>
      <c r="R23" s="46" t="str">
        <f>ZZZ__FnCalls!F22</f>
        <v>MMM 2011</v>
      </c>
      <c r="S23" s="46" t="str">
        <f>ZZZ__FnCalls!F23</f>
        <v>MMM 2011</v>
      </c>
      <c r="T23" s="46" t="str">
        <f>ZZZ__FnCalls!F24</f>
        <v>MMM 2011</v>
      </c>
      <c r="U23" s="46" t="str">
        <f>ZZZ__FnCalls!F25</f>
        <v>MMM 2011</v>
      </c>
      <c r="V23" s="46" t="str">
        <f>ZZZ__FnCalls!F26</f>
        <v>MMM 2011</v>
      </c>
      <c r="W23" s="46" t="str">
        <f>ZZZ__FnCalls!F27</f>
        <v>MMM 2011</v>
      </c>
      <c r="X23" s="46" t="str">
        <f>ZZZ__FnCalls!F28</f>
        <v>MMM 2011</v>
      </c>
      <c r="Y23" s="46" t="str">
        <f>ZZZ__FnCalls!F29</f>
        <v>MMM 2011</v>
      </c>
      <c r="Z23" s="46" t="str">
        <f>ZZZ__FnCalls!F30</f>
        <v>MMM 2011</v>
      </c>
      <c r="AA23" s="47" t="str">
        <f>ZZZ__FnCalls!F19</f>
        <v>MMM 2011</v>
      </c>
      <c r="AB23" s="46" t="str">
        <f>ZZZ__FnCalls!F31</f>
        <v>MMM 2012</v>
      </c>
      <c r="AC23" s="46" t="str">
        <f>ZZZ__FnCalls!F32</f>
        <v>MMM 2012</v>
      </c>
      <c r="AD23" s="46" t="str">
        <f>ZZZ__FnCalls!F33</f>
        <v>MMM 2012</v>
      </c>
      <c r="AE23" s="46" t="str">
        <f>ZZZ__FnCalls!F34</f>
        <v>MMM 2012</v>
      </c>
      <c r="AF23" s="46" t="str">
        <f>ZZZ__FnCalls!F35</f>
        <v>MMM 2012</v>
      </c>
      <c r="AG23" s="46" t="str">
        <f>ZZZ__FnCalls!F36</f>
        <v>MMM 2012</v>
      </c>
      <c r="AH23" s="46" t="str">
        <f>ZZZ__FnCalls!F37</f>
        <v>MMM 2012</v>
      </c>
      <c r="AI23" s="46" t="str">
        <f>ZZZ__FnCalls!F38</f>
        <v>MMM 2012</v>
      </c>
      <c r="AJ23" s="46" t="str">
        <f>ZZZ__FnCalls!F39</f>
        <v>MMM 2012</v>
      </c>
      <c r="AK23" s="46" t="str">
        <f>ZZZ__FnCalls!F40</f>
        <v>MMM 2012</v>
      </c>
      <c r="AL23" s="46" t="str">
        <f>ZZZ__FnCalls!F41</f>
        <v>MMM 2012</v>
      </c>
      <c r="AM23" s="46" t="str">
        <f>ZZZ__FnCalls!F42</f>
        <v>MMM 2012</v>
      </c>
      <c r="AN23" s="47" t="str">
        <f>ZZZ__FnCalls!F31</f>
        <v>MMM 2012</v>
      </c>
      <c r="AO23" s="46" t="str">
        <f>ZZZ__FnCalls!F43</f>
        <v>MMM 2013</v>
      </c>
      <c r="AP23" s="46" t="str">
        <f>ZZZ__FnCalls!F44</f>
        <v>MMM 2013</v>
      </c>
      <c r="AQ23" s="46" t="str">
        <f>ZZZ__FnCalls!F45</f>
        <v>MMM 2013</v>
      </c>
      <c r="AR23" s="46" t="str">
        <f>ZZZ__FnCalls!F46</f>
        <v>MMM 2013</v>
      </c>
      <c r="AS23" s="46" t="str">
        <f>ZZZ__FnCalls!F47</f>
        <v>MMM 2013</v>
      </c>
      <c r="AT23" s="46" t="str">
        <f>ZZZ__FnCalls!F48</f>
        <v>MMM 2013</v>
      </c>
      <c r="AU23" s="46" t="str">
        <f>ZZZ__FnCalls!F49</f>
        <v>MMM 2013</v>
      </c>
      <c r="AV23" s="46" t="str">
        <f>ZZZ__FnCalls!F50</f>
        <v>MMM 2013</v>
      </c>
      <c r="AW23" s="46" t="str">
        <f>ZZZ__FnCalls!F51</f>
        <v>MMM 2013</v>
      </c>
      <c r="AX23" s="46" t="str">
        <f>ZZZ__FnCalls!F52</f>
        <v>MMM 2013</v>
      </c>
      <c r="AY23" s="46" t="str">
        <f>ZZZ__FnCalls!F53</f>
        <v>MMM 2013</v>
      </c>
      <c r="AZ23" s="46" t="str">
        <f>ZZZ__FnCalls!F54</f>
        <v>MMM 2013</v>
      </c>
      <c r="BA23" s="47" t="str">
        <f>ZZZ__FnCalls!F43</f>
        <v>MMM 2013</v>
      </c>
      <c r="BB23" s="46" t="str">
        <f>ZZZ__FnCalls!F55</f>
        <v>MMM 2014</v>
      </c>
      <c r="BC23" s="46" t="str">
        <f>ZZZ__FnCalls!F56</f>
        <v>MMM 2014</v>
      </c>
      <c r="BD23" s="46" t="str">
        <f>ZZZ__FnCalls!F57</f>
        <v>MMM 2014</v>
      </c>
      <c r="BE23" s="46" t="str">
        <f>ZZZ__FnCalls!F58</f>
        <v>MMM 2014</v>
      </c>
      <c r="BF23" s="46" t="str">
        <f>ZZZ__FnCalls!F59</f>
        <v>MMM 2014</v>
      </c>
      <c r="BG23" s="46" t="str">
        <f>ZZZ__FnCalls!F60</f>
        <v>MMM 2014</v>
      </c>
      <c r="BH23" s="46" t="str">
        <f>ZZZ__FnCalls!F61</f>
        <v>MMM 2014</v>
      </c>
      <c r="BI23" s="46" t="str">
        <f>ZZZ__FnCalls!F62</f>
        <v>MMM 2014</v>
      </c>
      <c r="BJ23" s="46" t="str">
        <f>ZZZ__FnCalls!F63</f>
        <v>MMM 2014</v>
      </c>
      <c r="BK23" s="46" t="str">
        <f>ZZZ__FnCalls!F64</f>
        <v>MMM 2014</v>
      </c>
      <c r="BL23" s="46" t="str">
        <f>ZZZ__FnCalls!F65</f>
        <v>MMM 2014</v>
      </c>
      <c r="BM23" s="46" t="str">
        <f>ZZZ__FnCalls!F66</f>
        <v>MMM 2014</v>
      </c>
      <c r="BN23" s="47" t="str">
        <f>ZZZ__FnCalls!F55</f>
        <v>MMM 2014</v>
      </c>
      <c r="BO23" s="46" t="str">
        <f>ZZZ__FnCalls!F67</f>
        <v>MMM 2015</v>
      </c>
      <c r="BP23" s="46" t="str">
        <f>ZZZ__FnCalls!F68</f>
        <v>MMM 2015</v>
      </c>
      <c r="BQ23" s="46" t="str">
        <f>ZZZ__FnCalls!F69</f>
        <v>MMM 2015</v>
      </c>
      <c r="BR23" s="46" t="str">
        <f>ZZZ__FnCalls!F70</f>
        <v>MMM 2015</v>
      </c>
      <c r="BS23" s="46" t="str">
        <f>ZZZ__FnCalls!F71</f>
        <v>MMM 2015</v>
      </c>
      <c r="BT23" s="46" t="str">
        <f>ZZZ__FnCalls!F72</f>
        <v>MMM 2015</v>
      </c>
      <c r="BU23" s="46" t="str">
        <f>ZZZ__FnCalls!F73</f>
        <v>MMM 2015</v>
      </c>
      <c r="BV23" s="46" t="str">
        <f>ZZZ__FnCalls!F74</f>
        <v>MMM 2015</v>
      </c>
      <c r="BW23" s="46" t="str">
        <f>ZZZ__FnCalls!F75</f>
        <v>MMM 2015</v>
      </c>
      <c r="BX23" s="46" t="str">
        <f>ZZZ__FnCalls!F76</f>
        <v>MMM 2015</v>
      </c>
      <c r="BY23" s="46" t="str">
        <f>ZZZ__FnCalls!F77</f>
        <v>MMM 2015</v>
      </c>
      <c r="BZ23" s="46" t="str">
        <f>ZZZ__FnCalls!F78</f>
        <v>MMM 2015</v>
      </c>
      <c r="CA23" s="47" t="str">
        <f>ZZZ__FnCalls!F67</f>
        <v>MMM 2015</v>
      </c>
      <c r="CB23" s="46" t="str">
        <f>ZZZ__FnCalls!F79</f>
        <v>MMM 2016</v>
      </c>
      <c r="CC23" s="46" t="str">
        <f>ZZZ__FnCalls!F80</f>
        <v>MMM 2016</v>
      </c>
      <c r="CD23" s="46" t="str">
        <f>ZZZ__FnCalls!F81</f>
        <v>MMM 2016</v>
      </c>
      <c r="CE23" s="46" t="str">
        <f>ZZZ__FnCalls!F82</f>
        <v>MMM 2016</v>
      </c>
      <c r="CF23" s="46" t="str">
        <f>ZZZ__FnCalls!F83</f>
        <v>MMM 2016</v>
      </c>
      <c r="CG23" s="46" t="str">
        <f>ZZZ__FnCalls!F84</f>
        <v>MMM 2016</v>
      </c>
      <c r="CH23" s="46" t="str">
        <f>ZZZ__FnCalls!F85</f>
        <v>MMM 2016</v>
      </c>
      <c r="CI23" s="46" t="str">
        <f>ZZZ__FnCalls!F86</f>
        <v>MMM 2016</v>
      </c>
      <c r="CJ23" s="46" t="str">
        <f>ZZZ__FnCalls!F87</f>
        <v>MMM 2016</v>
      </c>
      <c r="CK23" s="46" t="str">
        <f>ZZZ__FnCalls!F88</f>
        <v>MMM 2016</v>
      </c>
      <c r="CL23" s="46" t="str">
        <f>ZZZ__FnCalls!F89</f>
        <v>MMM 2016</v>
      </c>
      <c r="CM23" s="46" t="str">
        <f>ZZZ__FnCalls!F90</f>
        <v>MMM 2016</v>
      </c>
      <c r="CN23" s="47" t="str">
        <f>ZZZ__FnCalls!F79</f>
        <v>MMM 2016</v>
      </c>
      <c r="CO23" s="46" t="str">
        <f>ZZZ__FnCalls!F91</f>
        <v>MMM 2017</v>
      </c>
      <c r="CP23" s="46" t="str">
        <f>ZZZ__FnCalls!F92</f>
        <v>MMM 2017</v>
      </c>
      <c r="CQ23" s="46" t="str">
        <f>ZZZ__FnCalls!F93</f>
        <v>MMM 2017</v>
      </c>
      <c r="CR23" s="46" t="str">
        <f>ZZZ__FnCalls!F94</f>
        <v>MMM 2017</v>
      </c>
      <c r="CS23" s="46" t="str">
        <f>ZZZ__FnCalls!F95</f>
        <v>MMM 2017</v>
      </c>
      <c r="CT23" s="46" t="str">
        <f>ZZZ__FnCalls!F96</f>
        <v>MMM 2017</v>
      </c>
      <c r="CU23" s="46" t="str">
        <f>ZZZ__FnCalls!F97</f>
        <v>MMM 2017</v>
      </c>
      <c r="CV23" s="46" t="str">
        <f>ZZZ__FnCalls!F98</f>
        <v>MMM 2017</v>
      </c>
      <c r="CW23" s="46" t="str">
        <f>ZZZ__FnCalls!F99</f>
        <v>MMM 2017</v>
      </c>
      <c r="CX23" s="46" t="str">
        <f>ZZZ__FnCalls!F100</f>
        <v>MMM 2017</v>
      </c>
      <c r="CY23" s="46" t="str">
        <f>ZZZ__FnCalls!F101</f>
        <v>MMM 2017</v>
      </c>
      <c r="CZ23" s="46" t="str">
        <f>ZZZ__FnCalls!F102</f>
        <v>MMM 2017</v>
      </c>
      <c r="DA23" s="47" t="str">
        <f>ZZZ__FnCalls!F91</f>
        <v>MMM 2017</v>
      </c>
      <c r="DB23" s="46" t="str">
        <f>ZZZ__FnCalls!F103</f>
        <v>MMM 2018</v>
      </c>
      <c r="DC23" s="46" t="str">
        <f>ZZZ__FnCalls!F104</f>
        <v>MMM 2018</v>
      </c>
      <c r="DD23" s="46" t="str">
        <f>ZZZ__FnCalls!F105</f>
        <v>MMM 2018</v>
      </c>
      <c r="DE23" s="46" t="str">
        <f>ZZZ__FnCalls!F106</f>
        <v>MMM 2018</v>
      </c>
      <c r="DF23" s="46" t="str">
        <f>ZZZ__FnCalls!F107</f>
        <v>MMM 2018</v>
      </c>
      <c r="DG23" s="46" t="str">
        <f>ZZZ__FnCalls!F108</f>
        <v>MMM 2018</v>
      </c>
      <c r="DH23" s="46" t="str">
        <f>ZZZ__FnCalls!F109</f>
        <v>MMM 2018</v>
      </c>
      <c r="DI23" s="46" t="str">
        <f>ZZZ__FnCalls!F110</f>
        <v>MMM 2018</v>
      </c>
      <c r="DJ23" s="46" t="str">
        <f>ZZZ__FnCalls!F111</f>
        <v>MMM 2018</v>
      </c>
      <c r="DK23" s="46" t="str">
        <f>ZZZ__FnCalls!F112</f>
        <v>MMM 2018</v>
      </c>
      <c r="DL23" s="46" t="str">
        <f>ZZZ__FnCalls!F113</f>
        <v>MMM 2018</v>
      </c>
      <c r="DM23" s="46" t="str">
        <f>ZZZ__FnCalls!F114</f>
        <v>MMM 2018</v>
      </c>
      <c r="DN23" s="47" t="str">
        <f>ZZZ__FnCalls!F103</f>
        <v>MMM 2018</v>
      </c>
      <c r="DO23" s="46" t="str">
        <f>ZZZ__FnCalls!F115</f>
        <v>MMM 2019</v>
      </c>
      <c r="DP23" s="46" t="str">
        <f>ZZZ__FnCalls!F116</f>
        <v>MMM 2019</v>
      </c>
      <c r="DQ23" s="46" t="str">
        <f>ZZZ__FnCalls!F117</f>
        <v>MMM 2019</v>
      </c>
      <c r="DR23" s="46" t="str">
        <f>ZZZ__FnCalls!F118</f>
        <v>MMM 2019</v>
      </c>
      <c r="DS23" s="46" t="str">
        <f>ZZZ__FnCalls!F119</f>
        <v>MMM 2019</v>
      </c>
      <c r="DT23" s="46" t="str">
        <f>ZZZ__FnCalls!F120</f>
        <v>MMM 2019</v>
      </c>
      <c r="DU23" s="46" t="str">
        <f>ZZZ__FnCalls!F121</f>
        <v>MMM 2019</v>
      </c>
      <c r="DV23" s="46" t="str">
        <f>ZZZ__FnCalls!F122</f>
        <v>MMM 2019</v>
      </c>
      <c r="DW23" s="46" t="str">
        <f>ZZZ__FnCalls!F123</f>
        <v>MMM 2019</v>
      </c>
      <c r="DX23" s="46" t="str">
        <f>ZZZ__FnCalls!F124</f>
        <v>MMM 2019</v>
      </c>
      <c r="DY23" s="46" t="str">
        <f>ZZZ__FnCalls!F125</f>
        <v>MMM 2019</v>
      </c>
      <c r="DZ23" s="46" t="str">
        <f>ZZZ__FnCalls!F126</f>
        <v>MMM 2019</v>
      </c>
      <c r="EA23" s="47" t="str">
        <f>ZZZ__FnCalls!F115</f>
        <v>MMM 2019</v>
      </c>
      <c r="EB23" s="46" t="str">
        <f>ZZZ__FnCalls!F127</f>
        <v>MMM 2020</v>
      </c>
      <c r="EC23" s="46" t="str">
        <f>ZZZ__FnCalls!F128</f>
        <v>MMM 2020</v>
      </c>
      <c r="ED23" s="46" t="str">
        <f>ZZZ__FnCalls!F129</f>
        <v>MMM 2020</v>
      </c>
      <c r="EE23" s="46" t="str">
        <f>ZZZ__FnCalls!F130</f>
        <v>MMM 2020</v>
      </c>
      <c r="EF23" s="46" t="str">
        <f>ZZZ__FnCalls!F131</f>
        <v>MMM 2020</v>
      </c>
      <c r="EG23" s="46" t="str">
        <f>ZZZ__FnCalls!F132</f>
        <v>MMM 2020</v>
      </c>
      <c r="EH23" s="46" t="str">
        <f>ZZZ__FnCalls!F133</f>
        <v>MMM 2020</v>
      </c>
      <c r="EI23" s="46" t="str">
        <f>ZZZ__FnCalls!F134</f>
        <v>MMM 2020</v>
      </c>
      <c r="EJ23" s="46" t="str">
        <f>ZZZ__FnCalls!F135</f>
        <v>MMM 2020</v>
      </c>
      <c r="EK23" s="46" t="str">
        <f>ZZZ__FnCalls!F136</f>
        <v>MMM 2020</v>
      </c>
      <c r="EL23" s="46" t="str">
        <f>ZZZ__FnCalls!F137</f>
        <v>MMM 2020</v>
      </c>
      <c r="EM23" s="46" t="str">
        <f>ZZZ__FnCalls!F138</f>
        <v>MMM 2020</v>
      </c>
      <c r="EN23" s="47" t="str">
        <f>ZZZ__FnCalls!F127</f>
        <v>MMM 2020</v>
      </c>
    </row>
    <row r="24" spans="1:144" ht="12.75" customHeight="1" x14ac:dyDescent="0.2">
      <c r="A24" s="2" t="str">
        <f>"Income_Permanent_1"</f>
        <v>Income_Permanent_1</v>
      </c>
    </row>
    <row r="25" spans="1:144" ht="12.75" customHeight="1" x14ac:dyDescent="0.2">
      <c r="B25" s="19" t="str">
        <f>ZZZ__FnCalls!F7</f>
        <v>MMM 2010</v>
      </c>
      <c r="C25" s="20" t="str">
        <f>ZZZ__FnCalls!F8</f>
        <v>MMM 2010</v>
      </c>
      <c r="D25" s="20" t="str">
        <f>ZZZ__FnCalls!F9</f>
        <v>MMM 2010</v>
      </c>
      <c r="E25" s="20" t="str">
        <f>ZZZ__FnCalls!F10</f>
        <v>MMM 2010</v>
      </c>
      <c r="F25" s="20" t="str">
        <f>ZZZ__FnCalls!F11</f>
        <v>MMM 2010</v>
      </c>
      <c r="G25" s="20" t="str">
        <f>ZZZ__FnCalls!F12</f>
        <v>MMM 2010</v>
      </c>
      <c r="H25" s="20" t="str">
        <f>ZZZ__FnCalls!F13</f>
        <v>MMM 2010</v>
      </c>
      <c r="I25" s="20" t="str">
        <f>ZZZ__FnCalls!F14</f>
        <v>MMM 2010</v>
      </c>
      <c r="J25" s="20" t="str">
        <f>ZZZ__FnCalls!F15</f>
        <v>MMM 2010</v>
      </c>
      <c r="K25" s="20" t="str">
        <f>ZZZ__FnCalls!F16</f>
        <v>MMM 2010</v>
      </c>
      <c r="L25" s="20" t="str">
        <f>ZZZ__FnCalls!F17</f>
        <v>MMM 2010</v>
      </c>
      <c r="M25" s="20" t="str">
        <f>ZZZ__FnCalls!F18</f>
        <v>MMM 2010</v>
      </c>
      <c r="N25" s="21" t="str">
        <f>ZZZ__FnCalls!H7</f>
        <v>2010</v>
      </c>
      <c r="O25" s="20" t="str">
        <f>ZZZ__FnCalls!F19</f>
        <v>MMM 2011</v>
      </c>
      <c r="P25" s="20" t="str">
        <f>ZZZ__FnCalls!F20</f>
        <v>MMM 2011</v>
      </c>
      <c r="Q25" s="20" t="str">
        <f>ZZZ__FnCalls!F21</f>
        <v>MMM 2011</v>
      </c>
      <c r="R25" s="20" t="str">
        <f>ZZZ__FnCalls!F22</f>
        <v>MMM 2011</v>
      </c>
      <c r="S25" s="20" t="str">
        <f>ZZZ__FnCalls!F23</f>
        <v>MMM 2011</v>
      </c>
      <c r="T25" s="20" t="str">
        <f>ZZZ__FnCalls!F24</f>
        <v>MMM 2011</v>
      </c>
      <c r="U25" s="20" t="str">
        <f>ZZZ__FnCalls!F25</f>
        <v>MMM 2011</v>
      </c>
      <c r="V25" s="20" t="str">
        <f>ZZZ__FnCalls!F26</f>
        <v>MMM 2011</v>
      </c>
      <c r="W25" s="20" t="str">
        <f>ZZZ__FnCalls!F27</f>
        <v>MMM 2011</v>
      </c>
      <c r="X25" s="20" t="str">
        <f>ZZZ__FnCalls!F28</f>
        <v>MMM 2011</v>
      </c>
      <c r="Y25" s="20" t="str">
        <f>ZZZ__FnCalls!F29</f>
        <v>MMM 2011</v>
      </c>
      <c r="Z25" s="20" t="str">
        <f>ZZZ__FnCalls!F30</f>
        <v>MMM 2011</v>
      </c>
      <c r="AA25" s="21" t="str">
        <f>ZZZ__FnCalls!H19</f>
        <v>2011</v>
      </c>
      <c r="AB25" s="20" t="str">
        <f>ZZZ__FnCalls!F31</f>
        <v>MMM 2012</v>
      </c>
      <c r="AC25" s="20" t="str">
        <f>ZZZ__FnCalls!F32</f>
        <v>MMM 2012</v>
      </c>
      <c r="AD25" s="20" t="str">
        <f>ZZZ__FnCalls!F33</f>
        <v>MMM 2012</v>
      </c>
      <c r="AE25" s="20" t="str">
        <f>ZZZ__FnCalls!F34</f>
        <v>MMM 2012</v>
      </c>
      <c r="AF25" s="20" t="str">
        <f>ZZZ__FnCalls!F35</f>
        <v>MMM 2012</v>
      </c>
      <c r="AG25" s="20" t="str">
        <f>ZZZ__FnCalls!F36</f>
        <v>MMM 2012</v>
      </c>
      <c r="AH25" s="20" t="str">
        <f>ZZZ__FnCalls!F37</f>
        <v>MMM 2012</v>
      </c>
      <c r="AI25" s="20" t="str">
        <f>ZZZ__FnCalls!F38</f>
        <v>MMM 2012</v>
      </c>
      <c r="AJ25" s="20" t="str">
        <f>ZZZ__FnCalls!F39</f>
        <v>MMM 2012</v>
      </c>
      <c r="AK25" s="20" t="str">
        <f>ZZZ__FnCalls!F40</f>
        <v>MMM 2012</v>
      </c>
      <c r="AL25" s="20" t="str">
        <f>ZZZ__FnCalls!F41</f>
        <v>MMM 2012</v>
      </c>
      <c r="AM25" s="20" t="str">
        <f>ZZZ__FnCalls!F42</f>
        <v>MMM 2012</v>
      </c>
      <c r="AN25" s="21" t="str">
        <f>ZZZ__FnCalls!H31</f>
        <v>2012</v>
      </c>
      <c r="AO25" s="20" t="str">
        <f>ZZZ__FnCalls!F43</f>
        <v>MMM 2013</v>
      </c>
      <c r="AP25" s="20" t="str">
        <f>ZZZ__FnCalls!F44</f>
        <v>MMM 2013</v>
      </c>
      <c r="AQ25" s="20" t="str">
        <f>ZZZ__FnCalls!F45</f>
        <v>MMM 2013</v>
      </c>
      <c r="AR25" s="20" t="str">
        <f>ZZZ__FnCalls!F46</f>
        <v>MMM 2013</v>
      </c>
      <c r="AS25" s="20" t="str">
        <f>ZZZ__FnCalls!F47</f>
        <v>MMM 2013</v>
      </c>
      <c r="AT25" s="20" t="str">
        <f>ZZZ__FnCalls!F48</f>
        <v>MMM 2013</v>
      </c>
      <c r="AU25" s="20" t="str">
        <f>ZZZ__FnCalls!F49</f>
        <v>MMM 2013</v>
      </c>
      <c r="AV25" s="20" t="str">
        <f>ZZZ__FnCalls!F50</f>
        <v>MMM 2013</v>
      </c>
      <c r="AW25" s="20" t="str">
        <f>ZZZ__FnCalls!F51</f>
        <v>MMM 2013</v>
      </c>
      <c r="AX25" s="20" t="str">
        <f>ZZZ__FnCalls!F52</f>
        <v>MMM 2013</v>
      </c>
      <c r="AY25" s="20" t="str">
        <f>ZZZ__FnCalls!F53</f>
        <v>MMM 2013</v>
      </c>
      <c r="AZ25" s="20" t="str">
        <f>ZZZ__FnCalls!F54</f>
        <v>MMM 2013</v>
      </c>
      <c r="BA25" s="21" t="str">
        <f>ZZZ__FnCalls!H43</f>
        <v>2013</v>
      </c>
      <c r="BB25" s="20" t="str">
        <f>ZZZ__FnCalls!F55</f>
        <v>MMM 2014</v>
      </c>
      <c r="BC25" s="20" t="str">
        <f>ZZZ__FnCalls!F56</f>
        <v>MMM 2014</v>
      </c>
      <c r="BD25" s="20" t="str">
        <f>ZZZ__FnCalls!F57</f>
        <v>MMM 2014</v>
      </c>
      <c r="BE25" s="20" t="str">
        <f>ZZZ__FnCalls!F58</f>
        <v>MMM 2014</v>
      </c>
      <c r="BF25" s="20" t="str">
        <f>ZZZ__FnCalls!F59</f>
        <v>MMM 2014</v>
      </c>
      <c r="BG25" s="20" t="str">
        <f>ZZZ__FnCalls!F60</f>
        <v>MMM 2014</v>
      </c>
      <c r="BH25" s="20" t="str">
        <f>ZZZ__FnCalls!F61</f>
        <v>MMM 2014</v>
      </c>
      <c r="BI25" s="20" t="str">
        <f>ZZZ__FnCalls!F62</f>
        <v>MMM 2014</v>
      </c>
      <c r="BJ25" s="20" t="str">
        <f>ZZZ__FnCalls!F63</f>
        <v>MMM 2014</v>
      </c>
      <c r="BK25" s="20" t="str">
        <f>ZZZ__FnCalls!F64</f>
        <v>MMM 2014</v>
      </c>
      <c r="BL25" s="20" t="str">
        <f>ZZZ__FnCalls!F65</f>
        <v>MMM 2014</v>
      </c>
      <c r="BM25" s="20" t="str">
        <f>ZZZ__FnCalls!F66</f>
        <v>MMM 2014</v>
      </c>
      <c r="BN25" s="21" t="str">
        <f>ZZZ__FnCalls!H55</f>
        <v>2014</v>
      </c>
      <c r="BO25" s="20" t="str">
        <f>ZZZ__FnCalls!F67</f>
        <v>MMM 2015</v>
      </c>
      <c r="BP25" s="20" t="str">
        <f>ZZZ__FnCalls!F68</f>
        <v>MMM 2015</v>
      </c>
      <c r="BQ25" s="20" t="str">
        <f>ZZZ__FnCalls!F69</f>
        <v>MMM 2015</v>
      </c>
      <c r="BR25" s="20" t="str">
        <f>ZZZ__FnCalls!F70</f>
        <v>MMM 2015</v>
      </c>
      <c r="BS25" s="20" t="str">
        <f>ZZZ__FnCalls!F71</f>
        <v>MMM 2015</v>
      </c>
      <c r="BT25" s="20" t="str">
        <f>ZZZ__FnCalls!F72</f>
        <v>MMM 2015</v>
      </c>
      <c r="BU25" s="20" t="str">
        <f>ZZZ__FnCalls!F73</f>
        <v>MMM 2015</v>
      </c>
      <c r="BV25" s="20" t="str">
        <f>ZZZ__FnCalls!F74</f>
        <v>MMM 2015</v>
      </c>
      <c r="BW25" s="20" t="str">
        <f>ZZZ__FnCalls!F75</f>
        <v>MMM 2015</v>
      </c>
      <c r="BX25" s="20" t="str">
        <f>ZZZ__FnCalls!F76</f>
        <v>MMM 2015</v>
      </c>
      <c r="BY25" s="20" t="str">
        <f>ZZZ__FnCalls!F77</f>
        <v>MMM 2015</v>
      </c>
      <c r="BZ25" s="20" t="str">
        <f>ZZZ__FnCalls!F78</f>
        <v>MMM 2015</v>
      </c>
      <c r="CA25" s="21" t="str">
        <f>ZZZ__FnCalls!H67</f>
        <v>2015</v>
      </c>
      <c r="CB25" s="20" t="str">
        <f>ZZZ__FnCalls!F79</f>
        <v>MMM 2016</v>
      </c>
      <c r="CC25" s="20" t="str">
        <f>ZZZ__FnCalls!F80</f>
        <v>MMM 2016</v>
      </c>
      <c r="CD25" s="20" t="str">
        <f>ZZZ__FnCalls!F81</f>
        <v>MMM 2016</v>
      </c>
      <c r="CE25" s="20" t="str">
        <f>ZZZ__FnCalls!F82</f>
        <v>MMM 2016</v>
      </c>
      <c r="CF25" s="20" t="str">
        <f>ZZZ__FnCalls!F83</f>
        <v>MMM 2016</v>
      </c>
      <c r="CG25" s="20" t="str">
        <f>ZZZ__FnCalls!F84</f>
        <v>MMM 2016</v>
      </c>
      <c r="CH25" s="20" t="str">
        <f>ZZZ__FnCalls!F85</f>
        <v>MMM 2016</v>
      </c>
      <c r="CI25" s="20" t="str">
        <f>ZZZ__FnCalls!F86</f>
        <v>MMM 2016</v>
      </c>
      <c r="CJ25" s="20" t="str">
        <f>ZZZ__FnCalls!F87</f>
        <v>MMM 2016</v>
      </c>
      <c r="CK25" s="20" t="str">
        <f>ZZZ__FnCalls!F88</f>
        <v>MMM 2016</v>
      </c>
      <c r="CL25" s="20" t="str">
        <f>ZZZ__FnCalls!F89</f>
        <v>MMM 2016</v>
      </c>
      <c r="CM25" s="20" t="str">
        <f>ZZZ__FnCalls!F90</f>
        <v>MMM 2016</v>
      </c>
      <c r="CN25" s="21" t="str">
        <f>ZZZ__FnCalls!H79</f>
        <v>2016</v>
      </c>
      <c r="CO25" s="20" t="str">
        <f>ZZZ__FnCalls!F91</f>
        <v>MMM 2017</v>
      </c>
      <c r="CP25" s="20" t="str">
        <f>ZZZ__FnCalls!F92</f>
        <v>MMM 2017</v>
      </c>
      <c r="CQ25" s="20" t="str">
        <f>ZZZ__FnCalls!F93</f>
        <v>MMM 2017</v>
      </c>
      <c r="CR25" s="20" t="str">
        <f>ZZZ__FnCalls!F94</f>
        <v>MMM 2017</v>
      </c>
      <c r="CS25" s="20" t="str">
        <f>ZZZ__FnCalls!F95</f>
        <v>MMM 2017</v>
      </c>
      <c r="CT25" s="20" t="str">
        <f>ZZZ__FnCalls!F96</f>
        <v>MMM 2017</v>
      </c>
      <c r="CU25" s="20" t="str">
        <f>ZZZ__FnCalls!F97</f>
        <v>MMM 2017</v>
      </c>
      <c r="CV25" s="20" t="str">
        <f>ZZZ__FnCalls!F98</f>
        <v>MMM 2017</v>
      </c>
      <c r="CW25" s="20" t="str">
        <f>ZZZ__FnCalls!F99</f>
        <v>MMM 2017</v>
      </c>
      <c r="CX25" s="20" t="str">
        <f>ZZZ__FnCalls!F100</f>
        <v>MMM 2017</v>
      </c>
      <c r="CY25" s="20" t="str">
        <f>ZZZ__FnCalls!F101</f>
        <v>MMM 2017</v>
      </c>
      <c r="CZ25" s="20" t="str">
        <f>ZZZ__FnCalls!F102</f>
        <v>MMM 2017</v>
      </c>
      <c r="DA25" s="21" t="str">
        <f>ZZZ__FnCalls!H91</f>
        <v>2017</v>
      </c>
      <c r="DB25" s="20" t="str">
        <f>ZZZ__FnCalls!F103</f>
        <v>MMM 2018</v>
      </c>
      <c r="DC25" s="20" t="str">
        <f>ZZZ__FnCalls!F104</f>
        <v>MMM 2018</v>
      </c>
      <c r="DD25" s="20" t="str">
        <f>ZZZ__FnCalls!F105</f>
        <v>MMM 2018</v>
      </c>
      <c r="DE25" s="20" t="str">
        <f>ZZZ__FnCalls!F106</f>
        <v>MMM 2018</v>
      </c>
      <c r="DF25" s="20" t="str">
        <f>ZZZ__FnCalls!F107</f>
        <v>MMM 2018</v>
      </c>
      <c r="DG25" s="20" t="str">
        <f>ZZZ__FnCalls!F108</f>
        <v>MMM 2018</v>
      </c>
      <c r="DH25" s="20" t="str">
        <f>ZZZ__FnCalls!F109</f>
        <v>MMM 2018</v>
      </c>
      <c r="DI25" s="20" t="str">
        <f>ZZZ__FnCalls!F110</f>
        <v>MMM 2018</v>
      </c>
      <c r="DJ25" s="20" t="str">
        <f>ZZZ__FnCalls!F111</f>
        <v>MMM 2018</v>
      </c>
      <c r="DK25" s="20" t="str">
        <f>ZZZ__FnCalls!F112</f>
        <v>MMM 2018</v>
      </c>
      <c r="DL25" s="20" t="str">
        <f>ZZZ__FnCalls!F113</f>
        <v>MMM 2018</v>
      </c>
      <c r="DM25" s="20" t="str">
        <f>ZZZ__FnCalls!F114</f>
        <v>MMM 2018</v>
      </c>
      <c r="DN25" s="21" t="str">
        <f>ZZZ__FnCalls!H103</f>
        <v>2018</v>
      </c>
      <c r="DO25" s="20" t="str">
        <f>ZZZ__FnCalls!F115</f>
        <v>MMM 2019</v>
      </c>
      <c r="DP25" s="20" t="str">
        <f>ZZZ__FnCalls!F116</f>
        <v>MMM 2019</v>
      </c>
      <c r="DQ25" s="20" t="str">
        <f>ZZZ__FnCalls!F117</f>
        <v>MMM 2019</v>
      </c>
      <c r="DR25" s="20" t="str">
        <f>ZZZ__FnCalls!F118</f>
        <v>MMM 2019</v>
      </c>
      <c r="DS25" s="20" t="str">
        <f>ZZZ__FnCalls!F119</f>
        <v>MMM 2019</v>
      </c>
      <c r="DT25" s="20" t="str">
        <f>ZZZ__FnCalls!F120</f>
        <v>MMM 2019</v>
      </c>
      <c r="DU25" s="20" t="str">
        <f>ZZZ__FnCalls!F121</f>
        <v>MMM 2019</v>
      </c>
      <c r="DV25" s="20" t="str">
        <f>ZZZ__FnCalls!F122</f>
        <v>MMM 2019</v>
      </c>
      <c r="DW25" s="20" t="str">
        <f>ZZZ__FnCalls!F123</f>
        <v>MMM 2019</v>
      </c>
      <c r="DX25" s="20" t="str">
        <f>ZZZ__FnCalls!F124</f>
        <v>MMM 2019</v>
      </c>
      <c r="DY25" s="20" t="str">
        <f>ZZZ__FnCalls!F125</f>
        <v>MMM 2019</v>
      </c>
      <c r="DZ25" s="20" t="str">
        <f>ZZZ__FnCalls!F126</f>
        <v>MMM 2019</v>
      </c>
      <c r="EA25" s="21" t="str">
        <f>ZZZ__FnCalls!H115</f>
        <v>2019</v>
      </c>
      <c r="EB25" s="20" t="str">
        <f>ZZZ__FnCalls!F127</f>
        <v>MMM 2020</v>
      </c>
      <c r="EC25" s="20" t="str">
        <f>ZZZ__FnCalls!F128</f>
        <v>MMM 2020</v>
      </c>
      <c r="ED25" s="20" t="str">
        <f>ZZZ__FnCalls!F129</f>
        <v>MMM 2020</v>
      </c>
      <c r="EE25" s="20" t="str">
        <f>ZZZ__FnCalls!F130</f>
        <v>MMM 2020</v>
      </c>
      <c r="EF25" s="20" t="str">
        <f>ZZZ__FnCalls!F131</f>
        <v>MMM 2020</v>
      </c>
      <c r="EG25" s="20" t="str">
        <f>ZZZ__FnCalls!F132</f>
        <v>MMM 2020</v>
      </c>
      <c r="EH25" s="20" t="str">
        <f>ZZZ__FnCalls!F133</f>
        <v>MMM 2020</v>
      </c>
      <c r="EI25" s="20" t="str">
        <f>ZZZ__FnCalls!F134</f>
        <v>MMM 2020</v>
      </c>
      <c r="EJ25" s="20" t="str">
        <f>ZZZ__FnCalls!F135</f>
        <v>MMM 2020</v>
      </c>
      <c r="EK25" s="20" t="str">
        <f>ZZZ__FnCalls!F136</f>
        <v>MMM 2020</v>
      </c>
      <c r="EL25" s="20" t="str">
        <f>ZZZ__FnCalls!F137</f>
        <v>MMM 2020</v>
      </c>
      <c r="EM25" s="20" t="str">
        <f>ZZZ__FnCalls!F138</f>
        <v>MMM 2020</v>
      </c>
      <c r="EN25" s="21" t="str">
        <f>ZZZ__FnCalls!H127</f>
        <v>2020</v>
      </c>
    </row>
    <row r="26" spans="1:144" ht="12.75" customHeight="1" x14ac:dyDescent="0.2">
      <c r="A26" s="5"/>
      <c r="B26" s="46">
        <f>ZZZ__FnCalls!A7</f>
        <v>40179</v>
      </c>
      <c r="C26" s="46">
        <f>ZZZ__FnCalls!A8</f>
        <v>40210</v>
      </c>
      <c r="D26" s="46">
        <f>ZZZ__FnCalls!A9</f>
        <v>40238</v>
      </c>
      <c r="E26" s="46">
        <f>ZZZ__FnCalls!A10</f>
        <v>40269</v>
      </c>
      <c r="F26" s="46">
        <f>ZZZ__FnCalls!A11</f>
        <v>40299</v>
      </c>
      <c r="G26" s="46">
        <f>ZZZ__FnCalls!A12</f>
        <v>40330</v>
      </c>
      <c r="H26" s="46">
        <f>ZZZ__FnCalls!A13</f>
        <v>40360</v>
      </c>
      <c r="I26" s="46">
        <f>ZZZ__FnCalls!A14</f>
        <v>40391</v>
      </c>
      <c r="J26" s="46">
        <f>ZZZ__FnCalls!A15</f>
        <v>40422</v>
      </c>
      <c r="K26" s="46">
        <f>ZZZ__FnCalls!A16</f>
        <v>40452</v>
      </c>
      <c r="L26" s="46">
        <f>ZZZ__FnCalls!A17</f>
        <v>40483</v>
      </c>
      <c r="M26" s="46">
        <f>ZZZ__FnCalls!A18</f>
        <v>40513</v>
      </c>
      <c r="N26" s="47">
        <f>ZZZ__FnCalls!A7</f>
        <v>40179</v>
      </c>
      <c r="O26" s="46">
        <f>ZZZ__FnCalls!A19</f>
        <v>40544</v>
      </c>
      <c r="P26" s="46">
        <f>ZZZ__FnCalls!A20</f>
        <v>40575</v>
      </c>
      <c r="Q26" s="46">
        <f>ZZZ__FnCalls!A21</f>
        <v>40603</v>
      </c>
      <c r="R26" s="46">
        <f>ZZZ__FnCalls!A22</f>
        <v>40634</v>
      </c>
      <c r="S26" s="46">
        <f>ZZZ__FnCalls!A23</f>
        <v>40664</v>
      </c>
      <c r="T26" s="46">
        <f>ZZZ__FnCalls!A24</f>
        <v>40695</v>
      </c>
      <c r="U26" s="46">
        <f>ZZZ__FnCalls!A25</f>
        <v>40725</v>
      </c>
      <c r="V26" s="46">
        <f>ZZZ__FnCalls!A26</f>
        <v>40756</v>
      </c>
      <c r="W26" s="46">
        <f>ZZZ__FnCalls!A27</f>
        <v>40787</v>
      </c>
      <c r="X26" s="46">
        <f>ZZZ__FnCalls!A28</f>
        <v>40817</v>
      </c>
      <c r="Y26" s="46">
        <f>ZZZ__FnCalls!A29</f>
        <v>40848</v>
      </c>
      <c r="Z26" s="46">
        <f>ZZZ__FnCalls!A30</f>
        <v>40878</v>
      </c>
      <c r="AA26" s="47">
        <f>ZZZ__FnCalls!A19</f>
        <v>40544</v>
      </c>
      <c r="AB26" s="46">
        <f>ZZZ__FnCalls!A31</f>
        <v>40909</v>
      </c>
      <c r="AC26" s="46">
        <f>ZZZ__FnCalls!A32</f>
        <v>40940</v>
      </c>
      <c r="AD26" s="46">
        <f>ZZZ__FnCalls!A33</f>
        <v>40969</v>
      </c>
      <c r="AE26" s="46">
        <f>ZZZ__FnCalls!A34</f>
        <v>41000</v>
      </c>
      <c r="AF26" s="46">
        <f>ZZZ__FnCalls!A35</f>
        <v>41030</v>
      </c>
      <c r="AG26" s="46">
        <f>ZZZ__FnCalls!A36</f>
        <v>41061</v>
      </c>
      <c r="AH26" s="46">
        <f>ZZZ__FnCalls!A37</f>
        <v>41091</v>
      </c>
      <c r="AI26" s="46">
        <f>ZZZ__FnCalls!A38</f>
        <v>41122</v>
      </c>
      <c r="AJ26" s="46">
        <f>ZZZ__FnCalls!A39</f>
        <v>41153</v>
      </c>
      <c r="AK26" s="46">
        <f>ZZZ__FnCalls!A40</f>
        <v>41183</v>
      </c>
      <c r="AL26" s="46">
        <f>ZZZ__FnCalls!A41</f>
        <v>41214</v>
      </c>
      <c r="AM26" s="46">
        <f>ZZZ__FnCalls!A42</f>
        <v>41244</v>
      </c>
      <c r="AN26" s="47">
        <f>ZZZ__FnCalls!A31</f>
        <v>40909</v>
      </c>
      <c r="AO26" s="46">
        <f>ZZZ__FnCalls!A43</f>
        <v>41275</v>
      </c>
      <c r="AP26" s="46">
        <f>ZZZ__FnCalls!A44</f>
        <v>41306</v>
      </c>
      <c r="AQ26" s="46">
        <f>ZZZ__FnCalls!A45</f>
        <v>41334</v>
      </c>
      <c r="AR26" s="46">
        <f>ZZZ__FnCalls!A46</f>
        <v>41365</v>
      </c>
      <c r="AS26" s="46">
        <f>ZZZ__FnCalls!A47</f>
        <v>41395</v>
      </c>
      <c r="AT26" s="46">
        <f>ZZZ__FnCalls!A48</f>
        <v>41426</v>
      </c>
      <c r="AU26" s="46">
        <f>ZZZ__FnCalls!A49</f>
        <v>41456</v>
      </c>
      <c r="AV26" s="46">
        <f>ZZZ__FnCalls!A50</f>
        <v>41487</v>
      </c>
      <c r="AW26" s="46">
        <f>ZZZ__FnCalls!A51</f>
        <v>41518</v>
      </c>
      <c r="AX26" s="46">
        <f>ZZZ__FnCalls!A52</f>
        <v>41548</v>
      </c>
      <c r="AY26" s="46">
        <f>ZZZ__FnCalls!A53</f>
        <v>41579</v>
      </c>
      <c r="AZ26" s="46">
        <f>ZZZ__FnCalls!A54</f>
        <v>41609</v>
      </c>
      <c r="BA26" s="47">
        <f>ZZZ__FnCalls!A43</f>
        <v>41275</v>
      </c>
      <c r="BB26" s="46">
        <f>ZZZ__FnCalls!A55</f>
        <v>41640</v>
      </c>
      <c r="BC26" s="46">
        <f>ZZZ__FnCalls!A56</f>
        <v>41671</v>
      </c>
      <c r="BD26" s="46">
        <f>ZZZ__FnCalls!A57</f>
        <v>41699</v>
      </c>
      <c r="BE26" s="46">
        <f>ZZZ__FnCalls!A58</f>
        <v>41730</v>
      </c>
      <c r="BF26" s="46">
        <f>ZZZ__FnCalls!A59</f>
        <v>41760</v>
      </c>
      <c r="BG26" s="46">
        <f>ZZZ__FnCalls!A60</f>
        <v>41791</v>
      </c>
      <c r="BH26" s="46">
        <f>ZZZ__FnCalls!A61</f>
        <v>41821</v>
      </c>
      <c r="BI26" s="46">
        <f>ZZZ__FnCalls!A62</f>
        <v>41852</v>
      </c>
      <c r="BJ26" s="46">
        <f>ZZZ__FnCalls!A63</f>
        <v>41883</v>
      </c>
      <c r="BK26" s="46">
        <f>ZZZ__FnCalls!A64</f>
        <v>41913</v>
      </c>
      <c r="BL26" s="46">
        <f>ZZZ__FnCalls!A65</f>
        <v>41944</v>
      </c>
      <c r="BM26" s="46">
        <f>ZZZ__FnCalls!A66</f>
        <v>41974</v>
      </c>
      <c r="BN26" s="47">
        <f>ZZZ__FnCalls!A55</f>
        <v>41640</v>
      </c>
      <c r="BO26" s="46">
        <f>ZZZ__FnCalls!A67</f>
        <v>42005</v>
      </c>
      <c r="BP26" s="46">
        <f>ZZZ__FnCalls!A68</f>
        <v>42036</v>
      </c>
      <c r="BQ26" s="46">
        <f>ZZZ__FnCalls!A69</f>
        <v>42064</v>
      </c>
      <c r="BR26" s="46">
        <f>ZZZ__FnCalls!A70</f>
        <v>42095</v>
      </c>
      <c r="BS26" s="46">
        <f>ZZZ__FnCalls!A71</f>
        <v>42125</v>
      </c>
      <c r="BT26" s="46">
        <f>ZZZ__FnCalls!A72</f>
        <v>42156</v>
      </c>
      <c r="BU26" s="46">
        <f>ZZZ__FnCalls!A73</f>
        <v>42186</v>
      </c>
      <c r="BV26" s="46">
        <f>ZZZ__FnCalls!A74</f>
        <v>42217</v>
      </c>
      <c r="BW26" s="46">
        <f>ZZZ__FnCalls!A75</f>
        <v>42248</v>
      </c>
      <c r="BX26" s="46">
        <f>ZZZ__FnCalls!A76</f>
        <v>42278</v>
      </c>
      <c r="BY26" s="46">
        <f>ZZZ__FnCalls!A77</f>
        <v>42309</v>
      </c>
      <c r="BZ26" s="46">
        <f>ZZZ__FnCalls!A78</f>
        <v>42339</v>
      </c>
      <c r="CA26" s="47">
        <f>ZZZ__FnCalls!A67</f>
        <v>42005</v>
      </c>
      <c r="CB26" s="46">
        <f>ZZZ__FnCalls!A79</f>
        <v>42370</v>
      </c>
      <c r="CC26" s="46">
        <f>ZZZ__FnCalls!A80</f>
        <v>42401</v>
      </c>
      <c r="CD26" s="46">
        <f>ZZZ__FnCalls!A81</f>
        <v>42430</v>
      </c>
      <c r="CE26" s="46">
        <f>ZZZ__FnCalls!A82</f>
        <v>42461</v>
      </c>
      <c r="CF26" s="46">
        <f>ZZZ__FnCalls!A83</f>
        <v>42491</v>
      </c>
      <c r="CG26" s="46">
        <f>ZZZ__FnCalls!A84</f>
        <v>42522</v>
      </c>
      <c r="CH26" s="46">
        <f>ZZZ__FnCalls!A85</f>
        <v>42552</v>
      </c>
      <c r="CI26" s="46">
        <f>ZZZ__FnCalls!A86</f>
        <v>42583</v>
      </c>
      <c r="CJ26" s="46">
        <f>ZZZ__FnCalls!A87</f>
        <v>42614</v>
      </c>
      <c r="CK26" s="46">
        <f>ZZZ__FnCalls!A88</f>
        <v>42644</v>
      </c>
      <c r="CL26" s="46">
        <f>ZZZ__FnCalls!A89</f>
        <v>42675</v>
      </c>
      <c r="CM26" s="46">
        <f>ZZZ__FnCalls!A90</f>
        <v>42705</v>
      </c>
      <c r="CN26" s="47">
        <f>ZZZ__FnCalls!A79</f>
        <v>42370</v>
      </c>
      <c r="CO26" s="46">
        <f>ZZZ__FnCalls!A91</f>
        <v>42736</v>
      </c>
      <c r="CP26" s="46">
        <f>ZZZ__FnCalls!A92</f>
        <v>42767</v>
      </c>
      <c r="CQ26" s="46">
        <f>ZZZ__FnCalls!A93</f>
        <v>42795</v>
      </c>
      <c r="CR26" s="46">
        <f>ZZZ__FnCalls!A94</f>
        <v>42826</v>
      </c>
      <c r="CS26" s="46">
        <f>ZZZ__FnCalls!A95</f>
        <v>42856</v>
      </c>
      <c r="CT26" s="46">
        <f>ZZZ__FnCalls!A96</f>
        <v>42887</v>
      </c>
      <c r="CU26" s="46">
        <f>ZZZ__FnCalls!A97</f>
        <v>42917</v>
      </c>
      <c r="CV26" s="46">
        <f>ZZZ__FnCalls!A98</f>
        <v>42948</v>
      </c>
      <c r="CW26" s="46">
        <f>ZZZ__FnCalls!A99</f>
        <v>42979</v>
      </c>
      <c r="CX26" s="46">
        <f>ZZZ__FnCalls!A100</f>
        <v>43009</v>
      </c>
      <c r="CY26" s="46">
        <f>ZZZ__FnCalls!A101</f>
        <v>43040</v>
      </c>
      <c r="CZ26" s="46">
        <f>ZZZ__FnCalls!A102</f>
        <v>43070</v>
      </c>
      <c r="DA26" s="47">
        <f>ZZZ__FnCalls!A91</f>
        <v>42736</v>
      </c>
      <c r="DB26" s="46">
        <f>ZZZ__FnCalls!A103</f>
        <v>43101</v>
      </c>
      <c r="DC26" s="46">
        <f>ZZZ__FnCalls!A104</f>
        <v>43132</v>
      </c>
      <c r="DD26" s="46">
        <f>ZZZ__FnCalls!A105</f>
        <v>43160</v>
      </c>
      <c r="DE26" s="46">
        <f>ZZZ__FnCalls!A106</f>
        <v>43191</v>
      </c>
      <c r="DF26" s="46">
        <f>ZZZ__FnCalls!A107</f>
        <v>43221</v>
      </c>
      <c r="DG26" s="46">
        <f>ZZZ__FnCalls!A108</f>
        <v>43252</v>
      </c>
      <c r="DH26" s="46">
        <f>ZZZ__FnCalls!A109</f>
        <v>43282</v>
      </c>
      <c r="DI26" s="46">
        <f>ZZZ__FnCalls!A110</f>
        <v>43313</v>
      </c>
      <c r="DJ26" s="46">
        <f>ZZZ__FnCalls!A111</f>
        <v>43344</v>
      </c>
      <c r="DK26" s="46">
        <f>ZZZ__FnCalls!A112</f>
        <v>43374</v>
      </c>
      <c r="DL26" s="46">
        <f>ZZZ__FnCalls!A113</f>
        <v>43405</v>
      </c>
      <c r="DM26" s="46">
        <f>ZZZ__FnCalls!A114</f>
        <v>43435</v>
      </c>
      <c r="DN26" s="47">
        <f>ZZZ__FnCalls!A103</f>
        <v>43101</v>
      </c>
      <c r="DO26" s="46">
        <f>ZZZ__FnCalls!A115</f>
        <v>43466</v>
      </c>
      <c r="DP26" s="46">
        <f>ZZZ__FnCalls!A116</f>
        <v>43497</v>
      </c>
      <c r="DQ26" s="46">
        <f>ZZZ__FnCalls!A117</f>
        <v>43525</v>
      </c>
      <c r="DR26" s="46">
        <f>ZZZ__FnCalls!A118</f>
        <v>43556</v>
      </c>
      <c r="DS26" s="46">
        <f>ZZZ__FnCalls!A119</f>
        <v>43586</v>
      </c>
      <c r="DT26" s="46">
        <f>ZZZ__FnCalls!A120</f>
        <v>43617</v>
      </c>
      <c r="DU26" s="46">
        <f>ZZZ__FnCalls!A121</f>
        <v>43647</v>
      </c>
      <c r="DV26" s="46">
        <f>ZZZ__FnCalls!A122</f>
        <v>43678</v>
      </c>
      <c r="DW26" s="46">
        <f>ZZZ__FnCalls!A123</f>
        <v>43709</v>
      </c>
      <c r="DX26" s="46">
        <f>ZZZ__FnCalls!A124</f>
        <v>43739</v>
      </c>
      <c r="DY26" s="46">
        <f>ZZZ__FnCalls!A125</f>
        <v>43770</v>
      </c>
      <c r="DZ26" s="46">
        <f>ZZZ__FnCalls!A126</f>
        <v>43800</v>
      </c>
      <c r="EA26" s="47">
        <f>ZZZ__FnCalls!A115</f>
        <v>43466</v>
      </c>
      <c r="EB26" s="46">
        <f>ZZZ__FnCalls!A127</f>
        <v>43831</v>
      </c>
      <c r="EC26" s="46">
        <f>ZZZ__FnCalls!A128</f>
        <v>43862</v>
      </c>
      <c r="ED26" s="46">
        <f>ZZZ__FnCalls!A129</f>
        <v>43891</v>
      </c>
      <c r="EE26" s="46">
        <f>ZZZ__FnCalls!A130</f>
        <v>43922</v>
      </c>
      <c r="EF26" s="46">
        <f>ZZZ__FnCalls!A131</f>
        <v>43952</v>
      </c>
      <c r="EG26" s="46">
        <f>ZZZ__FnCalls!A132</f>
        <v>43983</v>
      </c>
      <c r="EH26" s="46">
        <f>ZZZ__FnCalls!A133</f>
        <v>44013</v>
      </c>
      <c r="EI26" s="46">
        <f>ZZZ__FnCalls!A134</f>
        <v>44044</v>
      </c>
      <c r="EJ26" s="46">
        <f>ZZZ__FnCalls!A135</f>
        <v>44075</v>
      </c>
      <c r="EK26" s="46">
        <f>ZZZ__FnCalls!A136</f>
        <v>44105</v>
      </c>
      <c r="EL26" s="46">
        <f>ZZZ__FnCalls!A137</f>
        <v>44136</v>
      </c>
      <c r="EM26" s="46">
        <f>ZZZ__FnCalls!A138</f>
        <v>44166</v>
      </c>
      <c r="EN26" s="47">
        <f>ZZZ__FnCalls!A127</f>
        <v>43831</v>
      </c>
    </row>
    <row r="27" spans="1:144" ht="12.75" customHeight="1" x14ac:dyDescent="0.2">
      <c r="A27" s="2" t="str">
        <f>"Income_Permanent_2"</f>
        <v>Income_Permanent_2</v>
      </c>
    </row>
    <row r="28" spans="1:144" ht="12.75" customHeight="1" x14ac:dyDescent="0.2">
      <c r="B28" s="19" t="str">
        <f>ZZZ__FnCalls!F7</f>
        <v>MMM 2010</v>
      </c>
      <c r="C28" s="20" t="str">
        <f>ZZZ__FnCalls!F8</f>
        <v>MMM 2010</v>
      </c>
      <c r="D28" s="20" t="str">
        <f>ZZZ__FnCalls!F9</f>
        <v>MMM 2010</v>
      </c>
      <c r="E28" s="20" t="str">
        <f>ZZZ__FnCalls!F10</f>
        <v>MMM 2010</v>
      </c>
      <c r="F28" s="20" t="str">
        <f>ZZZ__FnCalls!F11</f>
        <v>MMM 2010</v>
      </c>
      <c r="G28" s="20" t="str">
        <f>ZZZ__FnCalls!F12</f>
        <v>MMM 2010</v>
      </c>
      <c r="H28" s="20" t="str">
        <f>ZZZ__FnCalls!F13</f>
        <v>MMM 2010</v>
      </c>
      <c r="I28" s="20" t="str">
        <f>ZZZ__FnCalls!F14</f>
        <v>MMM 2010</v>
      </c>
      <c r="J28" s="20" t="str">
        <f>ZZZ__FnCalls!F15</f>
        <v>MMM 2010</v>
      </c>
      <c r="K28" s="20" t="str">
        <f>ZZZ__FnCalls!F16</f>
        <v>MMM 2010</v>
      </c>
      <c r="L28" s="20" t="str">
        <f>ZZZ__FnCalls!F17</f>
        <v>MMM 2010</v>
      </c>
      <c r="M28" s="20" t="str">
        <f>ZZZ__FnCalls!F18</f>
        <v>MMM 2010</v>
      </c>
      <c r="N28" s="21" t="str">
        <f>ZZZ__FnCalls!H7</f>
        <v>2010</v>
      </c>
      <c r="O28" s="20" t="str">
        <f>ZZZ__FnCalls!F19</f>
        <v>MMM 2011</v>
      </c>
      <c r="P28" s="20" t="str">
        <f>ZZZ__FnCalls!F20</f>
        <v>MMM 2011</v>
      </c>
      <c r="Q28" s="20" t="str">
        <f>ZZZ__FnCalls!F21</f>
        <v>MMM 2011</v>
      </c>
      <c r="R28" s="20" t="str">
        <f>ZZZ__FnCalls!F22</f>
        <v>MMM 2011</v>
      </c>
      <c r="S28" s="20" t="str">
        <f>ZZZ__FnCalls!F23</f>
        <v>MMM 2011</v>
      </c>
      <c r="T28" s="20" t="str">
        <f>ZZZ__FnCalls!F24</f>
        <v>MMM 2011</v>
      </c>
      <c r="U28" s="20" t="str">
        <f>ZZZ__FnCalls!F25</f>
        <v>MMM 2011</v>
      </c>
      <c r="V28" s="20" t="str">
        <f>ZZZ__FnCalls!F26</f>
        <v>MMM 2011</v>
      </c>
      <c r="W28" s="20" t="str">
        <f>ZZZ__FnCalls!F27</f>
        <v>MMM 2011</v>
      </c>
      <c r="X28" s="20" t="str">
        <f>ZZZ__FnCalls!F28</f>
        <v>MMM 2011</v>
      </c>
      <c r="Y28" s="20" t="str">
        <f>ZZZ__FnCalls!F29</f>
        <v>MMM 2011</v>
      </c>
      <c r="Z28" s="20" t="str">
        <f>ZZZ__FnCalls!F30</f>
        <v>MMM 2011</v>
      </c>
      <c r="AA28" s="21" t="str">
        <f>ZZZ__FnCalls!H19</f>
        <v>2011</v>
      </c>
      <c r="AB28" s="20" t="str">
        <f>ZZZ__FnCalls!F31</f>
        <v>MMM 2012</v>
      </c>
      <c r="AC28" s="20" t="str">
        <f>ZZZ__FnCalls!F32</f>
        <v>MMM 2012</v>
      </c>
      <c r="AD28" s="20" t="str">
        <f>ZZZ__FnCalls!F33</f>
        <v>MMM 2012</v>
      </c>
      <c r="AE28" s="20" t="str">
        <f>ZZZ__FnCalls!F34</f>
        <v>MMM 2012</v>
      </c>
      <c r="AF28" s="20" t="str">
        <f>ZZZ__FnCalls!F35</f>
        <v>MMM 2012</v>
      </c>
      <c r="AG28" s="20" t="str">
        <f>ZZZ__FnCalls!F36</f>
        <v>MMM 2012</v>
      </c>
      <c r="AH28" s="20" t="str">
        <f>ZZZ__FnCalls!F37</f>
        <v>MMM 2012</v>
      </c>
      <c r="AI28" s="20" t="str">
        <f>ZZZ__FnCalls!F38</f>
        <v>MMM 2012</v>
      </c>
      <c r="AJ28" s="20" t="str">
        <f>ZZZ__FnCalls!F39</f>
        <v>MMM 2012</v>
      </c>
      <c r="AK28" s="20" t="str">
        <f>ZZZ__FnCalls!F40</f>
        <v>MMM 2012</v>
      </c>
      <c r="AL28" s="20" t="str">
        <f>ZZZ__FnCalls!F41</f>
        <v>MMM 2012</v>
      </c>
      <c r="AM28" s="20" t="str">
        <f>ZZZ__FnCalls!F42</f>
        <v>MMM 2012</v>
      </c>
      <c r="AN28" s="21" t="str">
        <f>ZZZ__FnCalls!H31</f>
        <v>2012</v>
      </c>
      <c r="AO28" s="20" t="str">
        <f>ZZZ__FnCalls!F43</f>
        <v>MMM 2013</v>
      </c>
      <c r="AP28" s="20" t="str">
        <f>ZZZ__FnCalls!F44</f>
        <v>MMM 2013</v>
      </c>
      <c r="AQ28" s="20" t="str">
        <f>ZZZ__FnCalls!F45</f>
        <v>MMM 2013</v>
      </c>
      <c r="AR28" s="20" t="str">
        <f>ZZZ__FnCalls!F46</f>
        <v>MMM 2013</v>
      </c>
      <c r="AS28" s="20" t="str">
        <f>ZZZ__FnCalls!F47</f>
        <v>MMM 2013</v>
      </c>
      <c r="AT28" s="20" t="str">
        <f>ZZZ__FnCalls!F48</f>
        <v>MMM 2013</v>
      </c>
      <c r="AU28" s="20" t="str">
        <f>ZZZ__FnCalls!F49</f>
        <v>MMM 2013</v>
      </c>
      <c r="AV28" s="20" t="str">
        <f>ZZZ__FnCalls!F50</f>
        <v>MMM 2013</v>
      </c>
      <c r="AW28" s="20" t="str">
        <f>ZZZ__FnCalls!F51</f>
        <v>MMM 2013</v>
      </c>
      <c r="AX28" s="20" t="str">
        <f>ZZZ__FnCalls!F52</f>
        <v>MMM 2013</v>
      </c>
      <c r="AY28" s="20" t="str">
        <f>ZZZ__FnCalls!F53</f>
        <v>MMM 2013</v>
      </c>
      <c r="AZ28" s="20" t="str">
        <f>ZZZ__FnCalls!F54</f>
        <v>MMM 2013</v>
      </c>
      <c r="BA28" s="21" t="str">
        <f>ZZZ__FnCalls!H43</f>
        <v>2013</v>
      </c>
      <c r="BB28" s="20" t="str">
        <f>ZZZ__FnCalls!F55</f>
        <v>MMM 2014</v>
      </c>
      <c r="BC28" s="20" t="str">
        <f>ZZZ__FnCalls!F56</f>
        <v>MMM 2014</v>
      </c>
      <c r="BD28" s="20" t="str">
        <f>ZZZ__FnCalls!F57</f>
        <v>MMM 2014</v>
      </c>
      <c r="BE28" s="20" t="str">
        <f>ZZZ__FnCalls!F58</f>
        <v>MMM 2014</v>
      </c>
      <c r="BF28" s="20" t="str">
        <f>ZZZ__FnCalls!F59</f>
        <v>MMM 2014</v>
      </c>
      <c r="BG28" s="20" t="str">
        <f>ZZZ__FnCalls!F60</f>
        <v>MMM 2014</v>
      </c>
      <c r="BH28" s="20" t="str">
        <f>ZZZ__FnCalls!F61</f>
        <v>MMM 2014</v>
      </c>
      <c r="BI28" s="20" t="str">
        <f>ZZZ__FnCalls!F62</f>
        <v>MMM 2014</v>
      </c>
      <c r="BJ28" s="20" t="str">
        <f>ZZZ__FnCalls!F63</f>
        <v>MMM 2014</v>
      </c>
      <c r="BK28" s="20" t="str">
        <f>ZZZ__FnCalls!F64</f>
        <v>MMM 2014</v>
      </c>
      <c r="BL28" s="20" t="str">
        <f>ZZZ__FnCalls!F65</f>
        <v>MMM 2014</v>
      </c>
      <c r="BM28" s="20" t="str">
        <f>ZZZ__FnCalls!F66</f>
        <v>MMM 2014</v>
      </c>
      <c r="BN28" s="21" t="str">
        <f>ZZZ__FnCalls!H55</f>
        <v>2014</v>
      </c>
      <c r="BO28" s="20" t="str">
        <f>ZZZ__FnCalls!F67</f>
        <v>MMM 2015</v>
      </c>
      <c r="BP28" s="20" t="str">
        <f>ZZZ__FnCalls!F68</f>
        <v>MMM 2015</v>
      </c>
      <c r="BQ28" s="20" t="str">
        <f>ZZZ__FnCalls!F69</f>
        <v>MMM 2015</v>
      </c>
      <c r="BR28" s="20" t="str">
        <f>ZZZ__FnCalls!F70</f>
        <v>MMM 2015</v>
      </c>
      <c r="BS28" s="20" t="str">
        <f>ZZZ__FnCalls!F71</f>
        <v>MMM 2015</v>
      </c>
      <c r="BT28" s="20" t="str">
        <f>ZZZ__FnCalls!F72</f>
        <v>MMM 2015</v>
      </c>
      <c r="BU28" s="20" t="str">
        <f>ZZZ__FnCalls!F73</f>
        <v>MMM 2015</v>
      </c>
      <c r="BV28" s="20" t="str">
        <f>ZZZ__FnCalls!F74</f>
        <v>MMM 2015</v>
      </c>
      <c r="BW28" s="20" t="str">
        <f>ZZZ__FnCalls!F75</f>
        <v>MMM 2015</v>
      </c>
      <c r="BX28" s="20" t="str">
        <f>ZZZ__FnCalls!F76</f>
        <v>MMM 2015</v>
      </c>
      <c r="BY28" s="20" t="str">
        <f>ZZZ__FnCalls!F77</f>
        <v>MMM 2015</v>
      </c>
      <c r="BZ28" s="20" t="str">
        <f>ZZZ__FnCalls!F78</f>
        <v>MMM 2015</v>
      </c>
      <c r="CA28" s="21" t="str">
        <f>ZZZ__FnCalls!H67</f>
        <v>2015</v>
      </c>
      <c r="CB28" s="20" t="str">
        <f>ZZZ__FnCalls!F79</f>
        <v>MMM 2016</v>
      </c>
      <c r="CC28" s="20" t="str">
        <f>ZZZ__FnCalls!F80</f>
        <v>MMM 2016</v>
      </c>
      <c r="CD28" s="20" t="str">
        <f>ZZZ__FnCalls!F81</f>
        <v>MMM 2016</v>
      </c>
      <c r="CE28" s="20" t="str">
        <f>ZZZ__FnCalls!F82</f>
        <v>MMM 2016</v>
      </c>
      <c r="CF28" s="20" t="str">
        <f>ZZZ__FnCalls!F83</f>
        <v>MMM 2016</v>
      </c>
      <c r="CG28" s="20" t="str">
        <f>ZZZ__FnCalls!F84</f>
        <v>MMM 2016</v>
      </c>
      <c r="CH28" s="20" t="str">
        <f>ZZZ__FnCalls!F85</f>
        <v>MMM 2016</v>
      </c>
      <c r="CI28" s="20" t="str">
        <f>ZZZ__FnCalls!F86</f>
        <v>MMM 2016</v>
      </c>
      <c r="CJ28" s="20" t="str">
        <f>ZZZ__FnCalls!F87</f>
        <v>MMM 2016</v>
      </c>
      <c r="CK28" s="20" t="str">
        <f>ZZZ__FnCalls!F88</f>
        <v>MMM 2016</v>
      </c>
      <c r="CL28" s="20" t="str">
        <f>ZZZ__FnCalls!F89</f>
        <v>MMM 2016</v>
      </c>
      <c r="CM28" s="20" t="str">
        <f>ZZZ__FnCalls!F90</f>
        <v>MMM 2016</v>
      </c>
      <c r="CN28" s="21" t="str">
        <f>ZZZ__FnCalls!H79</f>
        <v>2016</v>
      </c>
      <c r="CO28" s="20" t="str">
        <f>ZZZ__FnCalls!F91</f>
        <v>MMM 2017</v>
      </c>
      <c r="CP28" s="20" t="str">
        <f>ZZZ__FnCalls!F92</f>
        <v>MMM 2017</v>
      </c>
      <c r="CQ28" s="20" t="str">
        <f>ZZZ__FnCalls!F93</f>
        <v>MMM 2017</v>
      </c>
      <c r="CR28" s="20" t="str">
        <f>ZZZ__FnCalls!F94</f>
        <v>MMM 2017</v>
      </c>
      <c r="CS28" s="20" t="str">
        <f>ZZZ__FnCalls!F95</f>
        <v>MMM 2017</v>
      </c>
      <c r="CT28" s="20" t="str">
        <f>ZZZ__FnCalls!F96</f>
        <v>MMM 2017</v>
      </c>
      <c r="CU28" s="20" t="str">
        <f>ZZZ__FnCalls!F97</f>
        <v>MMM 2017</v>
      </c>
      <c r="CV28" s="20" t="str">
        <f>ZZZ__FnCalls!F98</f>
        <v>MMM 2017</v>
      </c>
      <c r="CW28" s="20" t="str">
        <f>ZZZ__FnCalls!F99</f>
        <v>MMM 2017</v>
      </c>
      <c r="CX28" s="20" t="str">
        <f>ZZZ__FnCalls!F100</f>
        <v>MMM 2017</v>
      </c>
      <c r="CY28" s="20" t="str">
        <f>ZZZ__FnCalls!F101</f>
        <v>MMM 2017</v>
      </c>
      <c r="CZ28" s="20" t="str">
        <f>ZZZ__FnCalls!F102</f>
        <v>MMM 2017</v>
      </c>
      <c r="DA28" s="21" t="str">
        <f>ZZZ__FnCalls!H91</f>
        <v>2017</v>
      </c>
      <c r="DB28" s="20" t="str">
        <f>ZZZ__FnCalls!F103</f>
        <v>MMM 2018</v>
      </c>
      <c r="DC28" s="20" t="str">
        <f>ZZZ__FnCalls!F104</f>
        <v>MMM 2018</v>
      </c>
      <c r="DD28" s="20" t="str">
        <f>ZZZ__FnCalls!F105</f>
        <v>MMM 2018</v>
      </c>
      <c r="DE28" s="20" t="str">
        <f>ZZZ__FnCalls!F106</f>
        <v>MMM 2018</v>
      </c>
      <c r="DF28" s="20" t="str">
        <f>ZZZ__FnCalls!F107</f>
        <v>MMM 2018</v>
      </c>
      <c r="DG28" s="20" t="str">
        <f>ZZZ__FnCalls!F108</f>
        <v>MMM 2018</v>
      </c>
      <c r="DH28" s="20" t="str">
        <f>ZZZ__FnCalls!F109</f>
        <v>MMM 2018</v>
      </c>
      <c r="DI28" s="20" t="str">
        <f>ZZZ__FnCalls!F110</f>
        <v>MMM 2018</v>
      </c>
      <c r="DJ28" s="20" t="str">
        <f>ZZZ__FnCalls!F111</f>
        <v>MMM 2018</v>
      </c>
      <c r="DK28" s="20" t="str">
        <f>ZZZ__FnCalls!F112</f>
        <v>MMM 2018</v>
      </c>
      <c r="DL28" s="20" t="str">
        <f>ZZZ__FnCalls!F113</f>
        <v>MMM 2018</v>
      </c>
      <c r="DM28" s="20" t="str">
        <f>ZZZ__FnCalls!F114</f>
        <v>MMM 2018</v>
      </c>
      <c r="DN28" s="21" t="str">
        <f>ZZZ__FnCalls!H103</f>
        <v>2018</v>
      </c>
      <c r="DO28" s="20" t="str">
        <f>ZZZ__FnCalls!F115</f>
        <v>MMM 2019</v>
      </c>
      <c r="DP28" s="20" t="str">
        <f>ZZZ__FnCalls!F116</f>
        <v>MMM 2019</v>
      </c>
      <c r="DQ28" s="20" t="str">
        <f>ZZZ__FnCalls!F117</f>
        <v>MMM 2019</v>
      </c>
      <c r="DR28" s="20" t="str">
        <f>ZZZ__FnCalls!F118</f>
        <v>MMM 2019</v>
      </c>
      <c r="DS28" s="20" t="str">
        <f>ZZZ__FnCalls!F119</f>
        <v>MMM 2019</v>
      </c>
      <c r="DT28" s="20" t="str">
        <f>ZZZ__FnCalls!F120</f>
        <v>MMM 2019</v>
      </c>
      <c r="DU28" s="20" t="str">
        <f>ZZZ__FnCalls!F121</f>
        <v>MMM 2019</v>
      </c>
      <c r="DV28" s="20" t="str">
        <f>ZZZ__FnCalls!F122</f>
        <v>MMM 2019</v>
      </c>
      <c r="DW28" s="20" t="str">
        <f>ZZZ__FnCalls!F123</f>
        <v>MMM 2019</v>
      </c>
      <c r="DX28" s="20" t="str">
        <f>ZZZ__FnCalls!F124</f>
        <v>MMM 2019</v>
      </c>
      <c r="DY28" s="20" t="str">
        <f>ZZZ__FnCalls!F125</f>
        <v>MMM 2019</v>
      </c>
      <c r="DZ28" s="20" t="str">
        <f>ZZZ__FnCalls!F126</f>
        <v>MMM 2019</v>
      </c>
      <c r="EA28" s="21" t="str">
        <f>ZZZ__FnCalls!H115</f>
        <v>2019</v>
      </c>
      <c r="EB28" s="20" t="str">
        <f>ZZZ__FnCalls!F127</f>
        <v>MMM 2020</v>
      </c>
      <c r="EC28" s="20" t="str">
        <f>ZZZ__FnCalls!F128</f>
        <v>MMM 2020</v>
      </c>
      <c r="ED28" s="20" t="str">
        <f>ZZZ__FnCalls!F129</f>
        <v>MMM 2020</v>
      </c>
      <c r="EE28" s="20" t="str">
        <f>ZZZ__FnCalls!F130</f>
        <v>MMM 2020</v>
      </c>
      <c r="EF28" s="20" t="str">
        <f>ZZZ__FnCalls!F131</f>
        <v>MMM 2020</v>
      </c>
      <c r="EG28" s="20" t="str">
        <f>ZZZ__FnCalls!F132</f>
        <v>MMM 2020</v>
      </c>
      <c r="EH28" s="20" t="str">
        <f>ZZZ__FnCalls!F133</f>
        <v>MMM 2020</v>
      </c>
      <c r="EI28" s="20" t="str">
        <f>ZZZ__FnCalls!F134</f>
        <v>MMM 2020</v>
      </c>
      <c r="EJ28" s="20" t="str">
        <f>ZZZ__FnCalls!F135</f>
        <v>MMM 2020</v>
      </c>
      <c r="EK28" s="20" t="str">
        <f>ZZZ__FnCalls!F136</f>
        <v>MMM 2020</v>
      </c>
      <c r="EL28" s="20" t="str">
        <f>ZZZ__FnCalls!F137</f>
        <v>MMM 2020</v>
      </c>
      <c r="EM28" s="20" t="str">
        <f>ZZZ__FnCalls!F138</f>
        <v>MMM 2020</v>
      </c>
      <c r="EN28" s="21" t="str">
        <f>ZZZ__FnCalls!H127</f>
        <v>2020</v>
      </c>
    </row>
    <row r="29" spans="1:144" ht="12.75" customHeight="1" x14ac:dyDescent="0.2">
      <c r="A29" s="5"/>
      <c r="B29" s="46" t="str">
        <f>ZZZ__FnCalls!F7</f>
        <v>MMM 2010</v>
      </c>
      <c r="C29" s="46" t="str">
        <f>ZZZ__FnCalls!F8</f>
        <v>MMM 2010</v>
      </c>
      <c r="D29" s="46" t="str">
        <f>ZZZ__FnCalls!F9</f>
        <v>MMM 2010</v>
      </c>
      <c r="E29" s="46" t="str">
        <f>ZZZ__FnCalls!F10</f>
        <v>MMM 2010</v>
      </c>
      <c r="F29" s="46" t="str">
        <f>ZZZ__FnCalls!F11</f>
        <v>MMM 2010</v>
      </c>
      <c r="G29" s="46" t="str">
        <f>ZZZ__FnCalls!F12</f>
        <v>MMM 2010</v>
      </c>
      <c r="H29" s="46" t="str">
        <f>ZZZ__FnCalls!F13</f>
        <v>MMM 2010</v>
      </c>
      <c r="I29" s="46" t="str">
        <f>ZZZ__FnCalls!F14</f>
        <v>MMM 2010</v>
      </c>
      <c r="J29" s="46" t="str">
        <f>ZZZ__FnCalls!F15</f>
        <v>MMM 2010</v>
      </c>
      <c r="K29" s="46" t="str">
        <f>ZZZ__FnCalls!F16</f>
        <v>MMM 2010</v>
      </c>
      <c r="L29" s="46" t="str">
        <f>ZZZ__FnCalls!F17</f>
        <v>MMM 2010</v>
      </c>
      <c r="M29" s="46" t="str">
        <f>ZZZ__FnCalls!F18</f>
        <v>MMM 2010</v>
      </c>
      <c r="N29" s="47" t="str">
        <f>ZZZ__FnCalls!F7</f>
        <v>MMM 2010</v>
      </c>
      <c r="O29" s="46" t="str">
        <f>ZZZ__FnCalls!F19</f>
        <v>MMM 2011</v>
      </c>
      <c r="P29" s="46" t="str">
        <f>ZZZ__FnCalls!F20</f>
        <v>MMM 2011</v>
      </c>
      <c r="Q29" s="46" t="str">
        <f>ZZZ__FnCalls!F21</f>
        <v>MMM 2011</v>
      </c>
      <c r="R29" s="46" t="str">
        <f>ZZZ__FnCalls!F22</f>
        <v>MMM 2011</v>
      </c>
      <c r="S29" s="46" t="str">
        <f>ZZZ__FnCalls!F23</f>
        <v>MMM 2011</v>
      </c>
      <c r="T29" s="46" t="str">
        <f>ZZZ__FnCalls!F24</f>
        <v>MMM 2011</v>
      </c>
      <c r="U29" s="46" t="str">
        <f>ZZZ__FnCalls!F25</f>
        <v>MMM 2011</v>
      </c>
      <c r="V29" s="46" t="str">
        <f>ZZZ__FnCalls!F26</f>
        <v>MMM 2011</v>
      </c>
      <c r="W29" s="46" t="str">
        <f>ZZZ__FnCalls!F27</f>
        <v>MMM 2011</v>
      </c>
      <c r="X29" s="46" t="str">
        <f>ZZZ__FnCalls!F28</f>
        <v>MMM 2011</v>
      </c>
      <c r="Y29" s="46" t="str">
        <f>ZZZ__FnCalls!F29</f>
        <v>MMM 2011</v>
      </c>
      <c r="Z29" s="46" t="str">
        <f>ZZZ__FnCalls!F30</f>
        <v>MMM 2011</v>
      </c>
      <c r="AA29" s="47" t="str">
        <f>ZZZ__FnCalls!F19</f>
        <v>MMM 2011</v>
      </c>
      <c r="AB29" s="46" t="str">
        <f>ZZZ__FnCalls!F31</f>
        <v>MMM 2012</v>
      </c>
      <c r="AC29" s="46" t="str">
        <f>ZZZ__FnCalls!F32</f>
        <v>MMM 2012</v>
      </c>
      <c r="AD29" s="46" t="str">
        <f>ZZZ__FnCalls!F33</f>
        <v>MMM 2012</v>
      </c>
      <c r="AE29" s="46" t="str">
        <f>ZZZ__FnCalls!F34</f>
        <v>MMM 2012</v>
      </c>
      <c r="AF29" s="46" t="str">
        <f>ZZZ__FnCalls!F35</f>
        <v>MMM 2012</v>
      </c>
      <c r="AG29" s="46" t="str">
        <f>ZZZ__FnCalls!F36</f>
        <v>MMM 2012</v>
      </c>
      <c r="AH29" s="46" t="str">
        <f>ZZZ__FnCalls!F37</f>
        <v>MMM 2012</v>
      </c>
      <c r="AI29" s="46" t="str">
        <f>ZZZ__FnCalls!F38</f>
        <v>MMM 2012</v>
      </c>
      <c r="AJ29" s="46" t="str">
        <f>ZZZ__FnCalls!F39</f>
        <v>MMM 2012</v>
      </c>
      <c r="AK29" s="46" t="str">
        <f>ZZZ__FnCalls!F40</f>
        <v>MMM 2012</v>
      </c>
      <c r="AL29" s="46" t="str">
        <f>ZZZ__FnCalls!F41</f>
        <v>MMM 2012</v>
      </c>
      <c r="AM29" s="46" t="str">
        <f>ZZZ__FnCalls!F42</f>
        <v>MMM 2012</v>
      </c>
      <c r="AN29" s="47" t="str">
        <f>ZZZ__FnCalls!F31</f>
        <v>MMM 2012</v>
      </c>
      <c r="AO29" s="46" t="str">
        <f>ZZZ__FnCalls!F43</f>
        <v>MMM 2013</v>
      </c>
      <c r="AP29" s="46" t="str">
        <f>ZZZ__FnCalls!F44</f>
        <v>MMM 2013</v>
      </c>
      <c r="AQ29" s="46" t="str">
        <f>ZZZ__FnCalls!F45</f>
        <v>MMM 2013</v>
      </c>
      <c r="AR29" s="46" t="str">
        <f>ZZZ__FnCalls!F46</f>
        <v>MMM 2013</v>
      </c>
      <c r="AS29" s="46" t="str">
        <f>ZZZ__FnCalls!F47</f>
        <v>MMM 2013</v>
      </c>
      <c r="AT29" s="46" t="str">
        <f>ZZZ__FnCalls!F48</f>
        <v>MMM 2013</v>
      </c>
      <c r="AU29" s="46" t="str">
        <f>ZZZ__FnCalls!F49</f>
        <v>MMM 2013</v>
      </c>
      <c r="AV29" s="46" t="str">
        <f>ZZZ__FnCalls!F50</f>
        <v>MMM 2013</v>
      </c>
      <c r="AW29" s="46" t="str">
        <f>ZZZ__FnCalls!F51</f>
        <v>MMM 2013</v>
      </c>
      <c r="AX29" s="46" t="str">
        <f>ZZZ__FnCalls!F52</f>
        <v>MMM 2013</v>
      </c>
      <c r="AY29" s="46" t="str">
        <f>ZZZ__FnCalls!F53</f>
        <v>MMM 2013</v>
      </c>
      <c r="AZ29" s="46" t="str">
        <f>ZZZ__FnCalls!F54</f>
        <v>MMM 2013</v>
      </c>
      <c r="BA29" s="47" t="str">
        <f>ZZZ__FnCalls!F43</f>
        <v>MMM 2013</v>
      </c>
      <c r="BB29" s="46" t="str">
        <f>ZZZ__FnCalls!F55</f>
        <v>MMM 2014</v>
      </c>
      <c r="BC29" s="46" t="str">
        <f>ZZZ__FnCalls!F56</f>
        <v>MMM 2014</v>
      </c>
      <c r="BD29" s="46" t="str">
        <f>ZZZ__FnCalls!F57</f>
        <v>MMM 2014</v>
      </c>
      <c r="BE29" s="46" t="str">
        <f>ZZZ__FnCalls!F58</f>
        <v>MMM 2014</v>
      </c>
      <c r="BF29" s="46" t="str">
        <f>ZZZ__FnCalls!F59</f>
        <v>MMM 2014</v>
      </c>
      <c r="BG29" s="46" t="str">
        <f>ZZZ__FnCalls!F60</f>
        <v>MMM 2014</v>
      </c>
      <c r="BH29" s="46" t="str">
        <f>ZZZ__FnCalls!F61</f>
        <v>MMM 2014</v>
      </c>
      <c r="BI29" s="46" t="str">
        <f>ZZZ__FnCalls!F62</f>
        <v>MMM 2014</v>
      </c>
      <c r="BJ29" s="46" t="str">
        <f>ZZZ__FnCalls!F63</f>
        <v>MMM 2014</v>
      </c>
      <c r="BK29" s="46" t="str">
        <f>ZZZ__FnCalls!F64</f>
        <v>MMM 2014</v>
      </c>
      <c r="BL29" s="46" t="str">
        <f>ZZZ__FnCalls!F65</f>
        <v>MMM 2014</v>
      </c>
      <c r="BM29" s="46" t="str">
        <f>ZZZ__FnCalls!F66</f>
        <v>MMM 2014</v>
      </c>
      <c r="BN29" s="47" t="str">
        <f>ZZZ__FnCalls!F55</f>
        <v>MMM 2014</v>
      </c>
      <c r="BO29" s="46" t="str">
        <f>ZZZ__FnCalls!F67</f>
        <v>MMM 2015</v>
      </c>
      <c r="BP29" s="46" t="str">
        <f>ZZZ__FnCalls!F68</f>
        <v>MMM 2015</v>
      </c>
      <c r="BQ29" s="46" t="str">
        <f>ZZZ__FnCalls!F69</f>
        <v>MMM 2015</v>
      </c>
      <c r="BR29" s="46" t="str">
        <f>ZZZ__FnCalls!F70</f>
        <v>MMM 2015</v>
      </c>
      <c r="BS29" s="46" t="str">
        <f>ZZZ__FnCalls!F71</f>
        <v>MMM 2015</v>
      </c>
      <c r="BT29" s="46" t="str">
        <f>ZZZ__FnCalls!F72</f>
        <v>MMM 2015</v>
      </c>
      <c r="BU29" s="46" t="str">
        <f>ZZZ__FnCalls!F73</f>
        <v>MMM 2015</v>
      </c>
      <c r="BV29" s="46" t="str">
        <f>ZZZ__FnCalls!F74</f>
        <v>MMM 2015</v>
      </c>
      <c r="BW29" s="46" t="str">
        <f>ZZZ__FnCalls!F75</f>
        <v>MMM 2015</v>
      </c>
      <c r="BX29" s="46" t="str">
        <f>ZZZ__FnCalls!F76</f>
        <v>MMM 2015</v>
      </c>
      <c r="BY29" s="46" t="str">
        <f>ZZZ__FnCalls!F77</f>
        <v>MMM 2015</v>
      </c>
      <c r="BZ29" s="46" t="str">
        <f>ZZZ__FnCalls!F78</f>
        <v>MMM 2015</v>
      </c>
      <c r="CA29" s="47" t="str">
        <f>ZZZ__FnCalls!F67</f>
        <v>MMM 2015</v>
      </c>
      <c r="CB29" s="46" t="str">
        <f>ZZZ__FnCalls!F79</f>
        <v>MMM 2016</v>
      </c>
      <c r="CC29" s="46" t="str">
        <f>ZZZ__FnCalls!F80</f>
        <v>MMM 2016</v>
      </c>
      <c r="CD29" s="46" t="str">
        <f>ZZZ__FnCalls!F81</f>
        <v>MMM 2016</v>
      </c>
      <c r="CE29" s="46" t="str">
        <f>ZZZ__FnCalls!F82</f>
        <v>MMM 2016</v>
      </c>
      <c r="CF29" s="46" t="str">
        <f>ZZZ__FnCalls!F83</f>
        <v>MMM 2016</v>
      </c>
      <c r="CG29" s="46" t="str">
        <f>ZZZ__FnCalls!F84</f>
        <v>MMM 2016</v>
      </c>
      <c r="CH29" s="46" t="str">
        <f>ZZZ__FnCalls!F85</f>
        <v>MMM 2016</v>
      </c>
      <c r="CI29" s="46" t="str">
        <f>ZZZ__FnCalls!F86</f>
        <v>MMM 2016</v>
      </c>
      <c r="CJ29" s="46" t="str">
        <f>ZZZ__FnCalls!F87</f>
        <v>MMM 2016</v>
      </c>
      <c r="CK29" s="46" t="str">
        <f>ZZZ__FnCalls!F88</f>
        <v>MMM 2016</v>
      </c>
      <c r="CL29" s="46" t="str">
        <f>ZZZ__FnCalls!F89</f>
        <v>MMM 2016</v>
      </c>
      <c r="CM29" s="46" t="str">
        <f>ZZZ__FnCalls!F90</f>
        <v>MMM 2016</v>
      </c>
      <c r="CN29" s="47" t="str">
        <f>ZZZ__FnCalls!F79</f>
        <v>MMM 2016</v>
      </c>
      <c r="CO29" s="46" t="str">
        <f>ZZZ__FnCalls!F91</f>
        <v>MMM 2017</v>
      </c>
      <c r="CP29" s="46" t="str">
        <f>ZZZ__FnCalls!F92</f>
        <v>MMM 2017</v>
      </c>
      <c r="CQ29" s="46" t="str">
        <f>ZZZ__FnCalls!F93</f>
        <v>MMM 2017</v>
      </c>
      <c r="CR29" s="46" t="str">
        <f>ZZZ__FnCalls!F94</f>
        <v>MMM 2017</v>
      </c>
      <c r="CS29" s="46" t="str">
        <f>ZZZ__FnCalls!F95</f>
        <v>MMM 2017</v>
      </c>
      <c r="CT29" s="46" t="str">
        <f>ZZZ__FnCalls!F96</f>
        <v>MMM 2017</v>
      </c>
      <c r="CU29" s="46" t="str">
        <f>ZZZ__FnCalls!F97</f>
        <v>MMM 2017</v>
      </c>
      <c r="CV29" s="46" t="str">
        <f>ZZZ__FnCalls!F98</f>
        <v>MMM 2017</v>
      </c>
      <c r="CW29" s="46" t="str">
        <f>ZZZ__FnCalls!F99</f>
        <v>MMM 2017</v>
      </c>
      <c r="CX29" s="46" t="str">
        <f>ZZZ__FnCalls!F100</f>
        <v>MMM 2017</v>
      </c>
      <c r="CY29" s="46" t="str">
        <f>ZZZ__FnCalls!F101</f>
        <v>MMM 2017</v>
      </c>
      <c r="CZ29" s="46" t="str">
        <f>ZZZ__FnCalls!F102</f>
        <v>MMM 2017</v>
      </c>
      <c r="DA29" s="47" t="str">
        <f>ZZZ__FnCalls!F91</f>
        <v>MMM 2017</v>
      </c>
      <c r="DB29" s="46" t="str">
        <f>ZZZ__FnCalls!F103</f>
        <v>MMM 2018</v>
      </c>
      <c r="DC29" s="46" t="str">
        <f>ZZZ__FnCalls!F104</f>
        <v>MMM 2018</v>
      </c>
      <c r="DD29" s="46" t="str">
        <f>ZZZ__FnCalls!F105</f>
        <v>MMM 2018</v>
      </c>
      <c r="DE29" s="46" t="str">
        <f>ZZZ__FnCalls!F106</f>
        <v>MMM 2018</v>
      </c>
      <c r="DF29" s="46" t="str">
        <f>ZZZ__FnCalls!F107</f>
        <v>MMM 2018</v>
      </c>
      <c r="DG29" s="46" t="str">
        <f>ZZZ__FnCalls!F108</f>
        <v>MMM 2018</v>
      </c>
      <c r="DH29" s="46" t="str">
        <f>ZZZ__FnCalls!F109</f>
        <v>MMM 2018</v>
      </c>
      <c r="DI29" s="46" t="str">
        <f>ZZZ__FnCalls!F110</f>
        <v>MMM 2018</v>
      </c>
      <c r="DJ29" s="46" t="str">
        <f>ZZZ__FnCalls!F111</f>
        <v>MMM 2018</v>
      </c>
      <c r="DK29" s="46" t="str">
        <f>ZZZ__FnCalls!F112</f>
        <v>MMM 2018</v>
      </c>
      <c r="DL29" s="46" t="str">
        <f>ZZZ__FnCalls!F113</f>
        <v>MMM 2018</v>
      </c>
      <c r="DM29" s="46" t="str">
        <f>ZZZ__FnCalls!F114</f>
        <v>MMM 2018</v>
      </c>
      <c r="DN29" s="47" t="str">
        <f>ZZZ__FnCalls!F103</f>
        <v>MMM 2018</v>
      </c>
      <c r="DO29" s="46" t="str">
        <f>ZZZ__FnCalls!F115</f>
        <v>MMM 2019</v>
      </c>
      <c r="DP29" s="46" t="str">
        <f>ZZZ__FnCalls!F116</f>
        <v>MMM 2019</v>
      </c>
      <c r="DQ29" s="46" t="str">
        <f>ZZZ__FnCalls!F117</f>
        <v>MMM 2019</v>
      </c>
      <c r="DR29" s="46" t="str">
        <f>ZZZ__FnCalls!F118</f>
        <v>MMM 2019</v>
      </c>
      <c r="DS29" s="46" t="str">
        <f>ZZZ__FnCalls!F119</f>
        <v>MMM 2019</v>
      </c>
      <c r="DT29" s="46" t="str">
        <f>ZZZ__FnCalls!F120</f>
        <v>MMM 2019</v>
      </c>
      <c r="DU29" s="46" t="str">
        <f>ZZZ__FnCalls!F121</f>
        <v>MMM 2019</v>
      </c>
      <c r="DV29" s="46" t="str">
        <f>ZZZ__FnCalls!F122</f>
        <v>MMM 2019</v>
      </c>
      <c r="DW29" s="46" t="str">
        <f>ZZZ__FnCalls!F123</f>
        <v>MMM 2019</v>
      </c>
      <c r="DX29" s="46" t="str">
        <f>ZZZ__FnCalls!F124</f>
        <v>MMM 2019</v>
      </c>
      <c r="DY29" s="46" t="str">
        <f>ZZZ__FnCalls!F125</f>
        <v>MMM 2019</v>
      </c>
      <c r="DZ29" s="46" t="str">
        <f>ZZZ__FnCalls!F126</f>
        <v>MMM 2019</v>
      </c>
      <c r="EA29" s="47" t="str">
        <f>ZZZ__FnCalls!F115</f>
        <v>MMM 2019</v>
      </c>
      <c r="EB29" s="46" t="str">
        <f>ZZZ__FnCalls!F127</f>
        <v>MMM 2020</v>
      </c>
      <c r="EC29" s="46" t="str">
        <f>ZZZ__FnCalls!F128</f>
        <v>MMM 2020</v>
      </c>
      <c r="ED29" s="46" t="str">
        <f>ZZZ__FnCalls!F129</f>
        <v>MMM 2020</v>
      </c>
      <c r="EE29" s="46" t="str">
        <f>ZZZ__FnCalls!F130</f>
        <v>MMM 2020</v>
      </c>
      <c r="EF29" s="46" t="str">
        <f>ZZZ__FnCalls!F131</f>
        <v>MMM 2020</v>
      </c>
      <c r="EG29" s="46" t="str">
        <f>ZZZ__FnCalls!F132</f>
        <v>MMM 2020</v>
      </c>
      <c r="EH29" s="46" t="str">
        <f>ZZZ__FnCalls!F133</f>
        <v>MMM 2020</v>
      </c>
      <c r="EI29" s="46" t="str">
        <f>ZZZ__FnCalls!F134</f>
        <v>MMM 2020</v>
      </c>
      <c r="EJ29" s="46" t="str">
        <f>ZZZ__FnCalls!F135</f>
        <v>MMM 2020</v>
      </c>
      <c r="EK29" s="46" t="str">
        <f>ZZZ__FnCalls!F136</f>
        <v>MMM 2020</v>
      </c>
      <c r="EL29" s="46" t="str">
        <f>ZZZ__FnCalls!F137</f>
        <v>MMM 2020</v>
      </c>
      <c r="EM29" s="46" t="str">
        <f>ZZZ__FnCalls!F138</f>
        <v>MMM 2020</v>
      </c>
      <c r="EN29" s="47" t="str">
        <f>ZZZ__FnCalls!F127</f>
        <v>MMM 2020</v>
      </c>
    </row>
    <row r="30" spans="1:144" ht="12.75" customHeight="1" x14ac:dyDescent="0.2">
      <c r="A30" s="2" t="str">
        <f>"Income_Current_Disposable_1"</f>
        <v>Income_Current_Disposable_1</v>
      </c>
    </row>
    <row r="31" spans="1:144" ht="12.75" customHeight="1" x14ac:dyDescent="0.2">
      <c r="B31" s="19" t="str">
        <f>ZZZ__FnCalls!F7</f>
        <v>MMM 2010</v>
      </c>
      <c r="C31" s="20" t="str">
        <f>ZZZ__FnCalls!F8</f>
        <v>MMM 2010</v>
      </c>
      <c r="D31" s="20" t="str">
        <f>ZZZ__FnCalls!F9</f>
        <v>MMM 2010</v>
      </c>
      <c r="E31" s="20" t="str">
        <f>ZZZ__FnCalls!F10</f>
        <v>MMM 2010</v>
      </c>
      <c r="F31" s="20" t="str">
        <f>ZZZ__FnCalls!F11</f>
        <v>MMM 2010</v>
      </c>
      <c r="G31" s="20" t="str">
        <f>ZZZ__FnCalls!F12</f>
        <v>MMM 2010</v>
      </c>
      <c r="H31" s="20" t="str">
        <f>ZZZ__FnCalls!F13</f>
        <v>MMM 2010</v>
      </c>
      <c r="I31" s="20" t="str">
        <f>ZZZ__FnCalls!F14</f>
        <v>MMM 2010</v>
      </c>
      <c r="J31" s="20" t="str">
        <f>ZZZ__FnCalls!F15</f>
        <v>MMM 2010</v>
      </c>
      <c r="K31" s="20" t="str">
        <f>ZZZ__FnCalls!F16</f>
        <v>MMM 2010</v>
      </c>
      <c r="L31" s="20" t="str">
        <f>ZZZ__FnCalls!F17</f>
        <v>MMM 2010</v>
      </c>
      <c r="M31" s="20" t="str">
        <f>ZZZ__FnCalls!F18</f>
        <v>MMM 2010</v>
      </c>
      <c r="N31" s="21" t="str">
        <f>ZZZ__FnCalls!H7</f>
        <v>2010</v>
      </c>
      <c r="O31" s="20" t="str">
        <f>ZZZ__FnCalls!F19</f>
        <v>MMM 2011</v>
      </c>
      <c r="P31" s="20" t="str">
        <f>ZZZ__FnCalls!F20</f>
        <v>MMM 2011</v>
      </c>
      <c r="Q31" s="20" t="str">
        <f>ZZZ__FnCalls!F21</f>
        <v>MMM 2011</v>
      </c>
      <c r="R31" s="20" t="str">
        <f>ZZZ__FnCalls!F22</f>
        <v>MMM 2011</v>
      </c>
      <c r="S31" s="20" t="str">
        <f>ZZZ__FnCalls!F23</f>
        <v>MMM 2011</v>
      </c>
      <c r="T31" s="20" t="str">
        <f>ZZZ__FnCalls!F24</f>
        <v>MMM 2011</v>
      </c>
      <c r="U31" s="20" t="str">
        <f>ZZZ__FnCalls!F25</f>
        <v>MMM 2011</v>
      </c>
      <c r="V31" s="20" t="str">
        <f>ZZZ__FnCalls!F26</f>
        <v>MMM 2011</v>
      </c>
      <c r="W31" s="20" t="str">
        <f>ZZZ__FnCalls!F27</f>
        <v>MMM 2011</v>
      </c>
      <c r="X31" s="20" t="str">
        <f>ZZZ__FnCalls!F28</f>
        <v>MMM 2011</v>
      </c>
      <c r="Y31" s="20" t="str">
        <f>ZZZ__FnCalls!F29</f>
        <v>MMM 2011</v>
      </c>
      <c r="Z31" s="20" t="str">
        <f>ZZZ__FnCalls!F30</f>
        <v>MMM 2011</v>
      </c>
      <c r="AA31" s="21" t="str">
        <f>ZZZ__FnCalls!H19</f>
        <v>2011</v>
      </c>
      <c r="AB31" s="20" t="str">
        <f>ZZZ__FnCalls!F31</f>
        <v>MMM 2012</v>
      </c>
      <c r="AC31" s="20" t="str">
        <f>ZZZ__FnCalls!F32</f>
        <v>MMM 2012</v>
      </c>
      <c r="AD31" s="20" t="str">
        <f>ZZZ__FnCalls!F33</f>
        <v>MMM 2012</v>
      </c>
      <c r="AE31" s="20" t="str">
        <f>ZZZ__FnCalls!F34</f>
        <v>MMM 2012</v>
      </c>
      <c r="AF31" s="20" t="str">
        <f>ZZZ__FnCalls!F35</f>
        <v>MMM 2012</v>
      </c>
      <c r="AG31" s="20" t="str">
        <f>ZZZ__FnCalls!F36</f>
        <v>MMM 2012</v>
      </c>
      <c r="AH31" s="20" t="str">
        <f>ZZZ__FnCalls!F37</f>
        <v>MMM 2012</v>
      </c>
      <c r="AI31" s="20" t="str">
        <f>ZZZ__FnCalls!F38</f>
        <v>MMM 2012</v>
      </c>
      <c r="AJ31" s="20" t="str">
        <f>ZZZ__FnCalls!F39</f>
        <v>MMM 2012</v>
      </c>
      <c r="AK31" s="20" t="str">
        <f>ZZZ__FnCalls!F40</f>
        <v>MMM 2012</v>
      </c>
      <c r="AL31" s="20" t="str">
        <f>ZZZ__FnCalls!F41</f>
        <v>MMM 2012</v>
      </c>
      <c r="AM31" s="20" t="str">
        <f>ZZZ__FnCalls!F42</f>
        <v>MMM 2012</v>
      </c>
      <c r="AN31" s="21" t="str">
        <f>ZZZ__FnCalls!H31</f>
        <v>2012</v>
      </c>
      <c r="AO31" s="20" t="str">
        <f>ZZZ__FnCalls!F43</f>
        <v>MMM 2013</v>
      </c>
      <c r="AP31" s="20" t="str">
        <f>ZZZ__FnCalls!F44</f>
        <v>MMM 2013</v>
      </c>
      <c r="AQ31" s="20" t="str">
        <f>ZZZ__FnCalls!F45</f>
        <v>MMM 2013</v>
      </c>
      <c r="AR31" s="20" t="str">
        <f>ZZZ__FnCalls!F46</f>
        <v>MMM 2013</v>
      </c>
      <c r="AS31" s="20" t="str">
        <f>ZZZ__FnCalls!F47</f>
        <v>MMM 2013</v>
      </c>
      <c r="AT31" s="20" t="str">
        <f>ZZZ__FnCalls!F48</f>
        <v>MMM 2013</v>
      </c>
      <c r="AU31" s="20" t="str">
        <f>ZZZ__FnCalls!F49</f>
        <v>MMM 2013</v>
      </c>
      <c r="AV31" s="20" t="str">
        <f>ZZZ__FnCalls!F50</f>
        <v>MMM 2013</v>
      </c>
      <c r="AW31" s="20" t="str">
        <f>ZZZ__FnCalls!F51</f>
        <v>MMM 2013</v>
      </c>
      <c r="AX31" s="20" t="str">
        <f>ZZZ__FnCalls!F52</f>
        <v>MMM 2013</v>
      </c>
      <c r="AY31" s="20" t="str">
        <f>ZZZ__FnCalls!F53</f>
        <v>MMM 2013</v>
      </c>
      <c r="AZ31" s="20" t="str">
        <f>ZZZ__FnCalls!F54</f>
        <v>MMM 2013</v>
      </c>
      <c r="BA31" s="21" t="str">
        <f>ZZZ__FnCalls!H43</f>
        <v>2013</v>
      </c>
      <c r="BB31" s="20" t="str">
        <f>ZZZ__FnCalls!F55</f>
        <v>MMM 2014</v>
      </c>
      <c r="BC31" s="20" t="str">
        <f>ZZZ__FnCalls!F56</f>
        <v>MMM 2014</v>
      </c>
      <c r="BD31" s="20" t="str">
        <f>ZZZ__FnCalls!F57</f>
        <v>MMM 2014</v>
      </c>
      <c r="BE31" s="20" t="str">
        <f>ZZZ__FnCalls!F58</f>
        <v>MMM 2014</v>
      </c>
      <c r="BF31" s="20" t="str">
        <f>ZZZ__FnCalls!F59</f>
        <v>MMM 2014</v>
      </c>
      <c r="BG31" s="20" t="str">
        <f>ZZZ__FnCalls!F60</f>
        <v>MMM 2014</v>
      </c>
      <c r="BH31" s="20" t="str">
        <f>ZZZ__FnCalls!F61</f>
        <v>MMM 2014</v>
      </c>
      <c r="BI31" s="20" t="str">
        <f>ZZZ__FnCalls!F62</f>
        <v>MMM 2014</v>
      </c>
      <c r="BJ31" s="20" t="str">
        <f>ZZZ__FnCalls!F63</f>
        <v>MMM 2014</v>
      </c>
      <c r="BK31" s="20" t="str">
        <f>ZZZ__FnCalls!F64</f>
        <v>MMM 2014</v>
      </c>
      <c r="BL31" s="20" t="str">
        <f>ZZZ__FnCalls!F65</f>
        <v>MMM 2014</v>
      </c>
      <c r="BM31" s="20" t="str">
        <f>ZZZ__FnCalls!F66</f>
        <v>MMM 2014</v>
      </c>
      <c r="BN31" s="21" t="str">
        <f>ZZZ__FnCalls!H55</f>
        <v>2014</v>
      </c>
      <c r="BO31" s="20" t="str">
        <f>ZZZ__FnCalls!F67</f>
        <v>MMM 2015</v>
      </c>
      <c r="BP31" s="20" t="str">
        <f>ZZZ__FnCalls!F68</f>
        <v>MMM 2015</v>
      </c>
      <c r="BQ31" s="20" t="str">
        <f>ZZZ__FnCalls!F69</f>
        <v>MMM 2015</v>
      </c>
      <c r="BR31" s="20" t="str">
        <f>ZZZ__FnCalls!F70</f>
        <v>MMM 2015</v>
      </c>
      <c r="BS31" s="20" t="str">
        <f>ZZZ__FnCalls!F71</f>
        <v>MMM 2015</v>
      </c>
      <c r="BT31" s="20" t="str">
        <f>ZZZ__FnCalls!F72</f>
        <v>MMM 2015</v>
      </c>
      <c r="BU31" s="20" t="str">
        <f>ZZZ__FnCalls!F73</f>
        <v>MMM 2015</v>
      </c>
      <c r="BV31" s="20" t="str">
        <f>ZZZ__FnCalls!F74</f>
        <v>MMM 2015</v>
      </c>
      <c r="BW31" s="20" t="str">
        <f>ZZZ__FnCalls!F75</f>
        <v>MMM 2015</v>
      </c>
      <c r="BX31" s="20" t="str">
        <f>ZZZ__FnCalls!F76</f>
        <v>MMM 2015</v>
      </c>
      <c r="BY31" s="20" t="str">
        <f>ZZZ__FnCalls!F77</f>
        <v>MMM 2015</v>
      </c>
      <c r="BZ31" s="20" t="str">
        <f>ZZZ__FnCalls!F78</f>
        <v>MMM 2015</v>
      </c>
      <c r="CA31" s="21" t="str">
        <f>ZZZ__FnCalls!H67</f>
        <v>2015</v>
      </c>
      <c r="CB31" s="20" t="str">
        <f>ZZZ__FnCalls!F79</f>
        <v>MMM 2016</v>
      </c>
      <c r="CC31" s="20" t="str">
        <f>ZZZ__FnCalls!F80</f>
        <v>MMM 2016</v>
      </c>
      <c r="CD31" s="20" t="str">
        <f>ZZZ__FnCalls!F81</f>
        <v>MMM 2016</v>
      </c>
      <c r="CE31" s="20" t="str">
        <f>ZZZ__FnCalls!F82</f>
        <v>MMM 2016</v>
      </c>
      <c r="CF31" s="20" t="str">
        <f>ZZZ__FnCalls!F83</f>
        <v>MMM 2016</v>
      </c>
      <c r="CG31" s="20" t="str">
        <f>ZZZ__FnCalls!F84</f>
        <v>MMM 2016</v>
      </c>
      <c r="CH31" s="20" t="str">
        <f>ZZZ__FnCalls!F85</f>
        <v>MMM 2016</v>
      </c>
      <c r="CI31" s="20" t="str">
        <f>ZZZ__FnCalls!F86</f>
        <v>MMM 2016</v>
      </c>
      <c r="CJ31" s="20" t="str">
        <f>ZZZ__FnCalls!F87</f>
        <v>MMM 2016</v>
      </c>
      <c r="CK31" s="20" t="str">
        <f>ZZZ__FnCalls!F88</f>
        <v>MMM 2016</v>
      </c>
      <c r="CL31" s="20" t="str">
        <f>ZZZ__FnCalls!F89</f>
        <v>MMM 2016</v>
      </c>
      <c r="CM31" s="20" t="str">
        <f>ZZZ__FnCalls!F90</f>
        <v>MMM 2016</v>
      </c>
      <c r="CN31" s="21" t="str">
        <f>ZZZ__FnCalls!H79</f>
        <v>2016</v>
      </c>
      <c r="CO31" s="20" t="str">
        <f>ZZZ__FnCalls!F91</f>
        <v>MMM 2017</v>
      </c>
      <c r="CP31" s="20" t="str">
        <f>ZZZ__FnCalls!F92</f>
        <v>MMM 2017</v>
      </c>
      <c r="CQ31" s="20" t="str">
        <f>ZZZ__FnCalls!F93</f>
        <v>MMM 2017</v>
      </c>
      <c r="CR31" s="20" t="str">
        <f>ZZZ__FnCalls!F94</f>
        <v>MMM 2017</v>
      </c>
      <c r="CS31" s="20" t="str">
        <f>ZZZ__FnCalls!F95</f>
        <v>MMM 2017</v>
      </c>
      <c r="CT31" s="20" t="str">
        <f>ZZZ__FnCalls!F96</f>
        <v>MMM 2017</v>
      </c>
      <c r="CU31" s="20" t="str">
        <f>ZZZ__FnCalls!F97</f>
        <v>MMM 2017</v>
      </c>
      <c r="CV31" s="20" t="str">
        <f>ZZZ__FnCalls!F98</f>
        <v>MMM 2017</v>
      </c>
      <c r="CW31" s="20" t="str">
        <f>ZZZ__FnCalls!F99</f>
        <v>MMM 2017</v>
      </c>
      <c r="CX31" s="20" t="str">
        <f>ZZZ__FnCalls!F100</f>
        <v>MMM 2017</v>
      </c>
      <c r="CY31" s="20" t="str">
        <f>ZZZ__FnCalls!F101</f>
        <v>MMM 2017</v>
      </c>
      <c r="CZ31" s="20" t="str">
        <f>ZZZ__FnCalls!F102</f>
        <v>MMM 2017</v>
      </c>
      <c r="DA31" s="21" t="str">
        <f>ZZZ__FnCalls!H91</f>
        <v>2017</v>
      </c>
      <c r="DB31" s="20" t="str">
        <f>ZZZ__FnCalls!F103</f>
        <v>MMM 2018</v>
      </c>
      <c r="DC31" s="20" t="str">
        <f>ZZZ__FnCalls!F104</f>
        <v>MMM 2018</v>
      </c>
      <c r="DD31" s="20" t="str">
        <f>ZZZ__FnCalls!F105</f>
        <v>MMM 2018</v>
      </c>
      <c r="DE31" s="20" t="str">
        <f>ZZZ__FnCalls!F106</f>
        <v>MMM 2018</v>
      </c>
      <c r="DF31" s="20" t="str">
        <f>ZZZ__FnCalls!F107</f>
        <v>MMM 2018</v>
      </c>
      <c r="DG31" s="20" t="str">
        <f>ZZZ__FnCalls!F108</f>
        <v>MMM 2018</v>
      </c>
      <c r="DH31" s="20" t="str">
        <f>ZZZ__FnCalls!F109</f>
        <v>MMM 2018</v>
      </c>
      <c r="DI31" s="20" t="str">
        <f>ZZZ__FnCalls!F110</f>
        <v>MMM 2018</v>
      </c>
      <c r="DJ31" s="20" t="str">
        <f>ZZZ__FnCalls!F111</f>
        <v>MMM 2018</v>
      </c>
      <c r="DK31" s="20" t="str">
        <f>ZZZ__FnCalls!F112</f>
        <v>MMM 2018</v>
      </c>
      <c r="DL31" s="20" t="str">
        <f>ZZZ__FnCalls!F113</f>
        <v>MMM 2018</v>
      </c>
      <c r="DM31" s="20" t="str">
        <f>ZZZ__FnCalls!F114</f>
        <v>MMM 2018</v>
      </c>
      <c r="DN31" s="21" t="str">
        <f>ZZZ__FnCalls!H103</f>
        <v>2018</v>
      </c>
      <c r="DO31" s="20" t="str">
        <f>ZZZ__FnCalls!F115</f>
        <v>MMM 2019</v>
      </c>
      <c r="DP31" s="20" t="str">
        <f>ZZZ__FnCalls!F116</f>
        <v>MMM 2019</v>
      </c>
      <c r="DQ31" s="20" t="str">
        <f>ZZZ__FnCalls!F117</f>
        <v>MMM 2019</v>
      </c>
      <c r="DR31" s="20" t="str">
        <f>ZZZ__FnCalls!F118</f>
        <v>MMM 2019</v>
      </c>
      <c r="DS31" s="20" t="str">
        <f>ZZZ__FnCalls!F119</f>
        <v>MMM 2019</v>
      </c>
      <c r="DT31" s="20" t="str">
        <f>ZZZ__FnCalls!F120</f>
        <v>MMM 2019</v>
      </c>
      <c r="DU31" s="20" t="str">
        <f>ZZZ__FnCalls!F121</f>
        <v>MMM 2019</v>
      </c>
      <c r="DV31" s="20" t="str">
        <f>ZZZ__FnCalls!F122</f>
        <v>MMM 2019</v>
      </c>
      <c r="DW31" s="20" t="str">
        <f>ZZZ__FnCalls!F123</f>
        <v>MMM 2019</v>
      </c>
      <c r="DX31" s="20" t="str">
        <f>ZZZ__FnCalls!F124</f>
        <v>MMM 2019</v>
      </c>
      <c r="DY31" s="20" t="str">
        <f>ZZZ__FnCalls!F125</f>
        <v>MMM 2019</v>
      </c>
      <c r="DZ31" s="20" t="str">
        <f>ZZZ__FnCalls!F126</f>
        <v>MMM 2019</v>
      </c>
      <c r="EA31" s="21" t="str">
        <f>ZZZ__FnCalls!H115</f>
        <v>2019</v>
      </c>
      <c r="EB31" s="20" t="str">
        <f>ZZZ__FnCalls!F127</f>
        <v>MMM 2020</v>
      </c>
      <c r="EC31" s="20" t="str">
        <f>ZZZ__FnCalls!F128</f>
        <v>MMM 2020</v>
      </c>
      <c r="ED31" s="20" t="str">
        <f>ZZZ__FnCalls!F129</f>
        <v>MMM 2020</v>
      </c>
      <c r="EE31" s="20" t="str">
        <f>ZZZ__FnCalls!F130</f>
        <v>MMM 2020</v>
      </c>
      <c r="EF31" s="20" t="str">
        <f>ZZZ__FnCalls!F131</f>
        <v>MMM 2020</v>
      </c>
      <c r="EG31" s="20" t="str">
        <f>ZZZ__FnCalls!F132</f>
        <v>MMM 2020</v>
      </c>
      <c r="EH31" s="20" t="str">
        <f>ZZZ__FnCalls!F133</f>
        <v>MMM 2020</v>
      </c>
      <c r="EI31" s="20" t="str">
        <f>ZZZ__FnCalls!F134</f>
        <v>MMM 2020</v>
      </c>
      <c r="EJ31" s="20" t="str">
        <f>ZZZ__FnCalls!F135</f>
        <v>MMM 2020</v>
      </c>
      <c r="EK31" s="20" t="str">
        <f>ZZZ__FnCalls!F136</f>
        <v>MMM 2020</v>
      </c>
      <c r="EL31" s="20" t="str">
        <f>ZZZ__FnCalls!F137</f>
        <v>MMM 2020</v>
      </c>
      <c r="EM31" s="20" t="str">
        <f>ZZZ__FnCalls!F138</f>
        <v>MMM 2020</v>
      </c>
      <c r="EN31" s="21" t="str">
        <f>ZZZ__FnCalls!H127</f>
        <v>2020</v>
      </c>
    </row>
    <row r="32" spans="1:144" ht="12.75" customHeight="1" x14ac:dyDescent="0.2">
      <c r="A32" s="5"/>
      <c r="B32" s="46">
        <f>ZZZ__FnCalls!A7</f>
        <v>40179</v>
      </c>
      <c r="C32" s="46">
        <f>ZZZ__FnCalls!A8</f>
        <v>40210</v>
      </c>
      <c r="D32" s="46">
        <f>ZZZ__FnCalls!A9</f>
        <v>40238</v>
      </c>
      <c r="E32" s="46">
        <f>ZZZ__FnCalls!A10</f>
        <v>40269</v>
      </c>
      <c r="F32" s="46">
        <f>ZZZ__FnCalls!A11</f>
        <v>40299</v>
      </c>
      <c r="G32" s="46">
        <f>ZZZ__FnCalls!A12</f>
        <v>40330</v>
      </c>
      <c r="H32" s="46">
        <f>ZZZ__FnCalls!A13</f>
        <v>40360</v>
      </c>
      <c r="I32" s="46">
        <f>ZZZ__FnCalls!A14</f>
        <v>40391</v>
      </c>
      <c r="J32" s="46">
        <f>ZZZ__FnCalls!A15</f>
        <v>40422</v>
      </c>
      <c r="K32" s="46">
        <f>ZZZ__FnCalls!A16</f>
        <v>40452</v>
      </c>
      <c r="L32" s="46">
        <f>ZZZ__FnCalls!A17</f>
        <v>40483</v>
      </c>
      <c r="M32" s="46">
        <f>ZZZ__FnCalls!A18</f>
        <v>40513</v>
      </c>
      <c r="N32" s="47">
        <f>ZZZ__FnCalls!A7</f>
        <v>40179</v>
      </c>
      <c r="O32" s="46">
        <f>ZZZ__FnCalls!A19</f>
        <v>40544</v>
      </c>
      <c r="P32" s="46">
        <f>ZZZ__FnCalls!A20</f>
        <v>40575</v>
      </c>
      <c r="Q32" s="46">
        <f>ZZZ__FnCalls!A21</f>
        <v>40603</v>
      </c>
      <c r="R32" s="46">
        <f>ZZZ__FnCalls!A22</f>
        <v>40634</v>
      </c>
      <c r="S32" s="46">
        <f>ZZZ__FnCalls!A23</f>
        <v>40664</v>
      </c>
      <c r="T32" s="46">
        <f>ZZZ__FnCalls!A24</f>
        <v>40695</v>
      </c>
      <c r="U32" s="46">
        <f>ZZZ__FnCalls!A25</f>
        <v>40725</v>
      </c>
      <c r="V32" s="46">
        <f>ZZZ__FnCalls!A26</f>
        <v>40756</v>
      </c>
      <c r="W32" s="46">
        <f>ZZZ__FnCalls!A27</f>
        <v>40787</v>
      </c>
      <c r="X32" s="46">
        <f>ZZZ__FnCalls!A28</f>
        <v>40817</v>
      </c>
      <c r="Y32" s="46">
        <f>ZZZ__FnCalls!A29</f>
        <v>40848</v>
      </c>
      <c r="Z32" s="46">
        <f>ZZZ__FnCalls!A30</f>
        <v>40878</v>
      </c>
      <c r="AA32" s="47">
        <f>ZZZ__FnCalls!A19</f>
        <v>40544</v>
      </c>
      <c r="AB32" s="46">
        <f>ZZZ__FnCalls!A31</f>
        <v>40909</v>
      </c>
      <c r="AC32" s="46">
        <f>ZZZ__FnCalls!A32</f>
        <v>40940</v>
      </c>
      <c r="AD32" s="46">
        <f>ZZZ__FnCalls!A33</f>
        <v>40969</v>
      </c>
      <c r="AE32" s="46">
        <f>ZZZ__FnCalls!A34</f>
        <v>41000</v>
      </c>
      <c r="AF32" s="46">
        <f>ZZZ__FnCalls!A35</f>
        <v>41030</v>
      </c>
      <c r="AG32" s="46">
        <f>ZZZ__FnCalls!A36</f>
        <v>41061</v>
      </c>
      <c r="AH32" s="46">
        <f>ZZZ__FnCalls!A37</f>
        <v>41091</v>
      </c>
      <c r="AI32" s="46">
        <f>ZZZ__FnCalls!A38</f>
        <v>41122</v>
      </c>
      <c r="AJ32" s="46">
        <f>ZZZ__FnCalls!A39</f>
        <v>41153</v>
      </c>
      <c r="AK32" s="46">
        <f>ZZZ__FnCalls!A40</f>
        <v>41183</v>
      </c>
      <c r="AL32" s="46">
        <f>ZZZ__FnCalls!A41</f>
        <v>41214</v>
      </c>
      <c r="AM32" s="46">
        <f>ZZZ__FnCalls!A42</f>
        <v>41244</v>
      </c>
      <c r="AN32" s="47">
        <f>ZZZ__FnCalls!A31</f>
        <v>40909</v>
      </c>
      <c r="AO32" s="46">
        <f>ZZZ__FnCalls!A43</f>
        <v>41275</v>
      </c>
      <c r="AP32" s="46">
        <f>ZZZ__FnCalls!A44</f>
        <v>41306</v>
      </c>
      <c r="AQ32" s="46">
        <f>ZZZ__FnCalls!A45</f>
        <v>41334</v>
      </c>
      <c r="AR32" s="46">
        <f>ZZZ__FnCalls!A46</f>
        <v>41365</v>
      </c>
      <c r="AS32" s="46">
        <f>ZZZ__FnCalls!A47</f>
        <v>41395</v>
      </c>
      <c r="AT32" s="46">
        <f>ZZZ__FnCalls!A48</f>
        <v>41426</v>
      </c>
      <c r="AU32" s="46">
        <f>ZZZ__FnCalls!A49</f>
        <v>41456</v>
      </c>
      <c r="AV32" s="46">
        <f>ZZZ__FnCalls!A50</f>
        <v>41487</v>
      </c>
      <c r="AW32" s="46">
        <f>ZZZ__FnCalls!A51</f>
        <v>41518</v>
      </c>
      <c r="AX32" s="46">
        <f>ZZZ__FnCalls!A52</f>
        <v>41548</v>
      </c>
      <c r="AY32" s="46">
        <f>ZZZ__FnCalls!A53</f>
        <v>41579</v>
      </c>
      <c r="AZ32" s="46">
        <f>ZZZ__FnCalls!A54</f>
        <v>41609</v>
      </c>
      <c r="BA32" s="47">
        <f>ZZZ__FnCalls!A43</f>
        <v>41275</v>
      </c>
      <c r="BB32" s="46">
        <f>ZZZ__FnCalls!A55</f>
        <v>41640</v>
      </c>
      <c r="BC32" s="46">
        <f>ZZZ__FnCalls!A56</f>
        <v>41671</v>
      </c>
      <c r="BD32" s="46">
        <f>ZZZ__FnCalls!A57</f>
        <v>41699</v>
      </c>
      <c r="BE32" s="46">
        <f>ZZZ__FnCalls!A58</f>
        <v>41730</v>
      </c>
      <c r="BF32" s="46">
        <f>ZZZ__FnCalls!A59</f>
        <v>41760</v>
      </c>
      <c r="BG32" s="46">
        <f>ZZZ__FnCalls!A60</f>
        <v>41791</v>
      </c>
      <c r="BH32" s="46">
        <f>ZZZ__FnCalls!A61</f>
        <v>41821</v>
      </c>
      <c r="BI32" s="46">
        <f>ZZZ__FnCalls!A62</f>
        <v>41852</v>
      </c>
      <c r="BJ32" s="46">
        <f>ZZZ__FnCalls!A63</f>
        <v>41883</v>
      </c>
      <c r="BK32" s="46">
        <f>ZZZ__FnCalls!A64</f>
        <v>41913</v>
      </c>
      <c r="BL32" s="46">
        <f>ZZZ__FnCalls!A65</f>
        <v>41944</v>
      </c>
      <c r="BM32" s="46">
        <f>ZZZ__FnCalls!A66</f>
        <v>41974</v>
      </c>
      <c r="BN32" s="47">
        <f>ZZZ__FnCalls!A55</f>
        <v>41640</v>
      </c>
      <c r="BO32" s="46">
        <f>ZZZ__FnCalls!A67</f>
        <v>42005</v>
      </c>
      <c r="BP32" s="46">
        <f>ZZZ__FnCalls!A68</f>
        <v>42036</v>
      </c>
      <c r="BQ32" s="46">
        <f>ZZZ__FnCalls!A69</f>
        <v>42064</v>
      </c>
      <c r="BR32" s="46">
        <f>ZZZ__FnCalls!A70</f>
        <v>42095</v>
      </c>
      <c r="BS32" s="46">
        <f>ZZZ__FnCalls!A71</f>
        <v>42125</v>
      </c>
      <c r="BT32" s="46">
        <f>ZZZ__FnCalls!A72</f>
        <v>42156</v>
      </c>
      <c r="BU32" s="46">
        <f>ZZZ__FnCalls!A73</f>
        <v>42186</v>
      </c>
      <c r="BV32" s="46">
        <f>ZZZ__FnCalls!A74</f>
        <v>42217</v>
      </c>
      <c r="BW32" s="46">
        <f>ZZZ__FnCalls!A75</f>
        <v>42248</v>
      </c>
      <c r="BX32" s="46">
        <f>ZZZ__FnCalls!A76</f>
        <v>42278</v>
      </c>
      <c r="BY32" s="46">
        <f>ZZZ__FnCalls!A77</f>
        <v>42309</v>
      </c>
      <c r="BZ32" s="46">
        <f>ZZZ__FnCalls!A78</f>
        <v>42339</v>
      </c>
      <c r="CA32" s="47">
        <f>ZZZ__FnCalls!A67</f>
        <v>42005</v>
      </c>
      <c r="CB32" s="46">
        <f>ZZZ__FnCalls!A79</f>
        <v>42370</v>
      </c>
      <c r="CC32" s="46">
        <f>ZZZ__FnCalls!A80</f>
        <v>42401</v>
      </c>
      <c r="CD32" s="46">
        <f>ZZZ__FnCalls!A81</f>
        <v>42430</v>
      </c>
      <c r="CE32" s="46">
        <f>ZZZ__FnCalls!A82</f>
        <v>42461</v>
      </c>
      <c r="CF32" s="46">
        <f>ZZZ__FnCalls!A83</f>
        <v>42491</v>
      </c>
      <c r="CG32" s="46">
        <f>ZZZ__FnCalls!A84</f>
        <v>42522</v>
      </c>
      <c r="CH32" s="46">
        <f>ZZZ__FnCalls!A85</f>
        <v>42552</v>
      </c>
      <c r="CI32" s="46">
        <f>ZZZ__FnCalls!A86</f>
        <v>42583</v>
      </c>
      <c r="CJ32" s="46">
        <f>ZZZ__FnCalls!A87</f>
        <v>42614</v>
      </c>
      <c r="CK32" s="46">
        <f>ZZZ__FnCalls!A88</f>
        <v>42644</v>
      </c>
      <c r="CL32" s="46">
        <f>ZZZ__FnCalls!A89</f>
        <v>42675</v>
      </c>
      <c r="CM32" s="46">
        <f>ZZZ__FnCalls!A90</f>
        <v>42705</v>
      </c>
      <c r="CN32" s="47">
        <f>ZZZ__FnCalls!A79</f>
        <v>42370</v>
      </c>
      <c r="CO32" s="46">
        <f>ZZZ__FnCalls!A91</f>
        <v>42736</v>
      </c>
      <c r="CP32" s="46">
        <f>ZZZ__FnCalls!A92</f>
        <v>42767</v>
      </c>
      <c r="CQ32" s="46">
        <f>ZZZ__FnCalls!A93</f>
        <v>42795</v>
      </c>
      <c r="CR32" s="46">
        <f>ZZZ__FnCalls!A94</f>
        <v>42826</v>
      </c>
      <c r="CS32" s="46">
        <f>ZZZ__FnCalls!A95</f>
        <v>42856</v>
      </c>
      <c r="CT32" s="46">
        <f>ZZZ__FnCalls!A96</f>
        <v>42887</v>
      </c>
      <c r="CU32" s="46">
        <f>ZZZ__FnCalls!A97</f>
        <v>42917</v>
      </c>
      <c r="CV32" s="46">
        <f>ZZZ__FnCalls!A98</f>
        <v>42948</v>
      </c>
      <c r="CW32" s="46">
        <f>ZZZ__FnCalls!A99</f>
        <v>42979</v>
      </c>
      <c r="CX32" s="46">
        <f>ZZZ__FnCalls!A100</f>
        <v>43009</v>
      </c>
      <c r="CY32" s="46">
        <f>ZZZ__FnCalls!A101</f>
        <v>43040</v>
      </c>
      <c r="CZ32" s="46">
        <f>ZZZ__FnCalls!A102</f>
        <v>43070</v>
      </c>
      <c r="DA32" s="47">
        <f>ZZZ__FnCalls!A91</f>
        <v>42736</v>
      </c>
      <c r="DB32" s="46">
        <f>ZZZ__FnCalls!A103</f>
        <v>43101</v>
      </c>
      <c r="DC32" s="46">
        <f>ZZZ__FnCalls!A104</f>
        <v>43132</v>
      </c>
      <c r="DD32" s="46">
        <f>ZZZ__FnCalls!A105</f>
        <v>43160</v>
      </c>
      <c r="DE32" s="46">
        <f>ZZZ__FnCalls!A106</f>
        <v>43191</v>
      </c>
      <c r="DF32" s="46">
        <f>ZZZ__FnCalls!A107</f>
        <v>43221</v>
      </c>
      <c r="DG32" s="46">
        <f>ZZZ__FnCalls!A108</f>
        <v>43252</v>
      </c>
      <c r="DH32" s="46">
        <f>ZZZ__FnCalls!A109</f>
        <v>43282</v>
      </c>
      <c r="DI32" s="46">
        <f>ZZZ__FnCalls!A110</f>
        <v>43313</v>
      </c>
      <c r="DJ32" s="46">
        <f>ZZZ__FnCalls!A111</f>
        <v>43344</v>
      </c>
      <c r="DK32" s="46">
        <f>ZZZ__FnCalls!A112</f>
        <v>43374</v>
      </c>
      <c r="DL32" s="46">
        <f>ZZZ__FnCalls!A113</f>
        <v>43405</v>
      </c>
      <c r="DM32" s="46">
        <f>ZZZ__FnCalls!A114</f>
        <v>43435</v>
      </c>
      <c r="DN32" s="47">
        <f>ZZZ__FnCalls!A103</f>
        <v>43101</v>
      </c>
      <c r="DO32" s="46">
        <f>ZZZ__FnCalls!A115</f>
        <v>43466</v>
      </c>
      <c r="DP32" s="46">
        <f>ZZZ__FnCalls!A116</f>
        <v>43497</v>
      </c>
      <c r="DQ32" s="46">
        <f>ZZZ__FnCalls!A117</f>
        <v>43525</v>
      </c>
      <c r="DR32" s="46">
        <f>ZZZ__FnCalls!A118</f>
        <v>43556</v>
      </c>
      <c r="DS32" s="46">
        <f>ZZZ__FnCalls!A119</f>
        <v>43586</v>
      </c>
      <c r="DT32" s="46">
        <f>ZZZ__FnCalls!A120</f>
        <v>43617</v>
      </c>
      <c r="DU32" s="46">
        <f>ZZZ__FnCalls!A121</f>
        <v>43647</v>
      </c>
      <c r="DV32" s="46">
        <f>ZZZ__FnCalls!A122</f>
        <v>43678</v>
      </c>
      <c r="DW32" s="46">
        <f>ZZZ__FnCalls!A123</f>
        <v>43709</v>
      </c>
      <c r="DX32" s="46">
        <f>ZZZ__FnCalls!A124</f>
        <v>43739</v>
      </c>
      <c r="DY32" s="46">
        <f>ZZZ__FnCalls!A125</f>
        <v>43770</v>
      </c>
      <c r="DZ32" s="46">
        <f>ZZZ__FnCalls!A126</f>
        <v>43800</v>
      </c>
      <c r="EA32" s="47">
        <f>ZZZ__FnCalls!A115</f>
        <v>43466</v>
      </c>
      <c r="EB32" s="46">
        <f>ZZZ__FnCalls!A127</f>
        <v>43831</v>
      </c>
      <c r="EC32" s="46">
        <f>ZZZ__FnCalls!A128</f>
        <v>43862</v>
      </c>
      <c r="ED32" s="46">
        <f>ZZZ__FnCalls!A129</f>
        <v>43891</v>
      </c>
      <c r="EE32" s="46">
        <f>ZZZ__FnCalls!A130</f>
        <v>43922</v>
      </c>
      <c r="EF32" s="46">
        <f>ZZZ__FnCalls!A131</f>
        <v>43952</v>
      </c>
      <c r="EG32" s="46">
        <f>ZZZ__FnCalls!A132</f>
        <v>43983</v>
      </c>
      <c r="EH32" s="46">
        <f>ZZZ__FnCalls!A133</f>
        <v>44013</v>
      </c>
      <c r="EI32" s="46">
        <f>ZZZ__FnCalls!A134</f>
        <v>44044</v>
      </c>
      <c r="EJ32" s="46">
        <f>ZZZ__FnCalls!A135</f>
        <v>44075</v>
      </c>
      <c r="EK32" s="46">
        <f>ZZZ__FnCalls!A136</f>
        <v>44105</v>
      </c>
      <c r="EL32" s="46">
        <f>ZZZ__FnCalls!A137</f>
        <v>44136</v>
      </c>
      <c r="EM32" s="46">
        <f>ZZZ__FnCalls!A138</f>
        <v>44166</v>
      </c>
      <c r="EN32" s="47">
        <f>ZZZ__FnCalls!A127</f>
        <v>43831</v>
      </c>
    </row>
    <row r="33" spans="1:144" ht="12.75" customHeight="1" x14ac:dyDescent="0.2">
      <c r="A33" s="2" t="str">
        <f>"Income_Current_Disposable_2"</f>
        <v>Income_Current_Disposable_2</v>
      </c>
    </row>
    <row r="34" spans="1:144" ht="12.75" customHeight="1" x14ac:dyDescent="0.2">
      <c r="B34" s="19" t="str">
        <f>ZZZ__FnCalls!F7</f>
        <v>MMM 2010</v>
      </c>
      <c r="C34" s="20" t="str">
        <f>ZZZ__FnCalls!F8</f>
        <v>MMM 2010</v>
      </c>
      <c r="D34" s="20" t="str">
        <f>ZZZ__FnCalls!F9</f>
        <v>MMM 2010</v>
      </c>
      <c r="E34" s="20" t="str">
        <f>ZZZ__FnCalls!F10</f>
        <v>MMM 2010</v>
      </c>
      <c r="F34" s="20" t="str">
        <f>ZZZ__FnCalls!F11</f>
        <v>MMM 2010</v>
      </c>
      <c r="G34" s="20" t="str">
        <f>ZZZ__FnCalls!F12</f>
        <v>MMM 2010</v>
      </c>
      <c r="H34" s="20" t="str">
        <f>ZZZ__FnCalls!F13</f>
        <v>MMM 2010</v>
      </c>
      <c r="I34" s="20" t="str">
        <f>ZZZ__FnCalls!F14</f>
        <v>MMM 2010</v>
      </c>
      <c r="J34" s="20" t="str">
        <f>ZZZ__FnCalls!F15</f>
        <v>MMM 2010</v>
      </c>
      <c r="K34" s="20" t="str">
        <f>ZZZ__FnCalls!F16</f>
        <v>MMM 2010</v>
      </c>
      <c r="L34" s="20" t="str">
        <f>ZZZ__FnCalls!F17</f>
        <v>MMM 2010</v>
      </c>
      <c r="M34" s="20" t="str">
        <f>ZZZ__FnCalls!F18</f>
        <v>MMM 2010</v>
      </c>
      <c r="N34" s="21" t="str">
        <f>ZZZ__FnCalls!H7</f>
        <v>2010</v>
      </c>
      <c r="O34" s="20" t="str">
        <f>ZZZ__FnCalls!F19</f>
        <v>MMM 2011</v>
      </c>
      <c r="P34" s="20" t="str">
        <f>ZZZ__FnCalls!F20</f>
        <v>MMM 2011</v>
      </c>
      <c r="Q34" s="20" t="str">
        <f>ZZZ__FnCalls!F21</f>
        <v>MMM 2011</v>
      </c>
      <c r="R34" s="20" t="str">
        <f>ZZZ__FnCalls!F22</f>
        <v>MMM 2011</v>
      </c>
      <c r="S34" s="20" t="str">
        <f>ZZZ__FnCalls!F23</f>
        <v>MMM 2011</v>
      </c>
      <c r="T34" s="20" t="str">
        <f>ZZZ__FnCalls!F24</f>
        <v>MMM 2011</v>
      </c>
      <c r="U34" s="20" t="str">
        <f>ZZZ__FnCalls!F25</f>
        <v>MMM 2011</v>
      </c>
      <c r="V34" s="20" t="str">
        <f>ZZZ__FnCalls!F26</f>
        <v>MMM 2011</v>
      </c>
      <c r="W34" s="20" t="str">
        <f>ZZZ__FnCalls!F27</f>
        <v>MMM 2011</v>
      </c>
      <c r="X34" s="20" t="str">
        <f>ZZZ__FnCalls!F28</f>
        <v>MMM 2011</v>
      </c>
      <c r="Y34" s="20" t="str">
        <f>ZZZ__FnCalls!F29</f>
        <v>MMM 2011</v>
      </c>
      <c r="Z34" s="20" t="str">
        <f>ZZZ__FnCalls!F30</f>
        <v>MMM 2011</v>
      </c>
      <c r="AA34" s="21" t="str">
        <f>ZZZ__FnCalls!H19</f>
        <v>2011</v>
      </c>
      <c r="AB34" s="20" t="str">
        <f>ZZZ__FnCalls!F31</f>
        <v>MMM 2012</v>
      </c>
      <c r="AC34" s="20" t="str">
        <f>ZZZ__FnCalls!F32</f>
        <v>MMM 2012</v>
      </c>
      <c r="AD34" s="20" t="str">
        <f>ZZZ__FnCalls!F33</f>
        <v>MMM 2012</v>
      </c>
      <c r="AE34" s="20" t="str">
        <f>ZZZ__FnCalls!F34</f>
        <v>MMM 2012</v>
      </c>
      <c r="AF34" s="20" t="str">
        <f>ZZZ__FnCalls!F35</f>
        <v>MMM 2012</v>
      </c>
      <c r="AG34" s="20" t="str">
        <f>ZZZ__FnCalls!F36</f>
        <v>MMM 2012</v>
      </c>
      <c r="AH34" s="20" t="str">
        <f>ZZZ__FnCalls!F37</f>
        <v>MMM 2012</v>
      </c>
      <c r="AI34" s="20" t="str">
        <f>ZZZ__FnCalls!F38</f>
        <v>MMM 2012</v>
      </c>
      <c r="AJ34" s="20" t="str">
        <f>ZZZ__FnCalls!F39</f>
        <v>MMM 2012</v>
      </c>
      <c r="AK34" s="20" t="str">
        <f>ZZZ__FnCalls!F40</f>
        <v>MMM 2012</v>
      </c>
      <c r="AL34" s="20" t="str">
        <f>ZZZ__FnCalls!F41</f>
        <v>MMM 2012</v>
      </c>
      <c r="AM34" s="20" t="str">
        <f>ZZZ__FnCalls!F42</f>
        <v>MMM 2012</v>
      </c>
      <c r="AN34" s="21" t="str">
        <f>ZZZ__FnCalls!H31</f>
        <v>2012</v>
      </c>
      <c r="AO34" s="20" t="str">
        <f>ZZZ__FnCalls!F43</f>
        <v>MMM 2013</v>
      </c>
      <c r="AP34" s="20" t="str">
        <f>ZZZ__FnCalls!F44</f>
        <v>MMM 2013</v>
      </c>
      <c r="AQ34" s="20" t="str">
        <f>ZZZ__FnCalls!F45</f>
        <v>MMM 2013</v>
      </c>
      <c r="AR34" s="20" t="str">
        <f>ZZZ__FnCalls!F46</f>
        <v>MMM 2013</v>
      </c>
      <c r="AS34" s="20" t="str">
        <f>ZZZ__FnCalls!F47</f>
        <v>MMM 2013</v>
      </c>
      <c r="AT34" s="20" t="str">
        <f>ZZZ__FnCalls!F48</f>
        <v>MMM 2013</v>
      </c>
      <c r="AU34" s="20" t="str">
        <f>ZZZ__FnCalls!F49</f>
        <v>MMM 2013</v>
      </c>
      <c r="AV34" s="20" t="str">
        <f>ZZZ__FnCalls!F50</f>
        <v>MMM 2013</v>
      </c>
      <c r="AW34" s="20" t="str">
        <f>ZZZ__FnCalls!F51</f>
        <v>MMM 2013</v>
      </c>
      <c r="AX34" s="20" t="str">
        <f>ZZZ__FnCalls!F52</f>
        <v>MMM 2013</v>
      </c>
      <c r="AY34" s="20" t="str">
        <f>ZZZ__FnCalls!F53</f>
        <v>MMM 2013</v>
      </c>
      <c r="AZ34" s="20" t="str">
        <f>ZZZ__FnCalls!F54</f>
        <v>MMM 2013</v>
      </c>
      <c r="BA34" s="21" t="str">
        <f>ZZZ__FnCalls!H43</f>
        <v>2013</v>
      </c>
      <c r="BB34" s="20" t="str">
        <f>ZZZ__FnCalls!F55</f>
        <v>MMM 2014</v>
      </c>
      <c r="BC34" s="20" t="str">
        <f>ZZZ__FnCalls!F56</f>
        <v>MMM 2014</v>
      </c>
      <c r="BD34" s="20" t="str">
        <f>ZZZ__FnCalls!F57</f>
        <v>MMM 2014</v>
      </c>
      <c r="BE34" s="20" t="str">
        <f>ZZZ__FnCalls!F58</f>
        <v>MMM 2014</v>
      </c>
      <c r="BF34" s="20" t="str">
        <f>ZZZ__FnCalls!F59</f>
        <v>MMM 2014</v>
      </c>
      <c r="BG34" s="20" t="str">
        <f>ZZZ__FnCalls!F60</f>
        <v>MMM 2014</v>
      </c>
      <c r="BH34" s="20" t="str">
        <f>ZZZ__FnCalls!F61</f>
        <v>MMM 2014</v>
      </c>
      <c r="BI34" s="20" t="str">
        <f>ZZZ__FnCalls!F62</f>
        <v>MMM 2014</v>
      </c>
      <c r="BJ34" s="20" t="str">
        <f>ZZZ__FnCalls!F63</f>
        <v>MMM 2014</v>
      </c>
      <c r="BK34" s="20" t="str">
        <f>ZZZ__FnCalls!F64</f>
        <v>MMM 2014</v>
      </c>
      <c r="BL34" s="20" t="str">
        <f>ZZZ__FnCalls!F65</f>
        <v>MMM 2014</v>
      </c>
      <c r="BM34" s="20" t="str">
        <f>ZZZ__FnCalls!F66</f>
        <v>MMM 2014</v>
      </c>
      <c r="BN34" s="21" t="str">
        <f>ZZZ__FnCalls!H55</f>
        <v>2014</v>
      </c>
      <c r="BO34" s="20" t="str">
        <f>ZZZ__FnCalls!F67</f>
        <v>MMM 2015</v>
      </c>
      <c r="BP34" s="20" t="str">
        <f>ZZZ__FnCalls!F68</f>
        <v>MMM 2015</v>
      </c>
      <c r="BQ34" s="20" t="str">
        <f>ZZZ__FnCalls!F69</f>
        <v>MMM 2015</v>
      </c>
      <c r="BR34" s="20" t="str">
        <f>ZZZ__FnCalls!F70</f>
        <v>MMM 2015</v>
      </c>
      <c r="BS34" s="20" t="str">
        <f>ZZZ__FnCalls!F71</f>
        <v>MMM 2015</v>
      </c>
      <c r="BT34" s="20" t="str">
        <f>ZZZ__FnCalls!F72</f>
        <v>MMM 2015</v>
      </c>
      <c r="BU34" s="20" t="str">
        <f>ZZZ__FnCalls!F73</f>
        <v>MMM 2015</v>
      </c>
      <c r="BV34" s="20" t="str">
        <f>ZZZ__FnCalls!F74</f>
        <v>MMM 2015</v>
      </c>
      <c r="BW34" s="20" t="str">
        <f>ZZZ__FnCalls!F75</f>
        <v>MMM 2015</v>
      </c>
      <c r="BX34" s="20" t="str">
        <f>ZZZ__FnCalls!F76</f>
        <v>MMM 2015</v>
      </c>
      <c r="BY34" s="20" t="str">
        <f>ZZZ__FnCalls!F77</f>
        <v>MMM 2015</v>
      </c>
      <c r="BZ34" s="20" t="str">
        <f>ZZZ__FnCalls!F78</f>
        <v>MMM 2015</v>
      </c>
      <c r="CA34" s="21" t="str">
        <f>ZZZ__FnCalls!H67</f>
        <v>2015</v>
      </c>
      <c r="CB34" s="20" t="str">
        <f>ZZZ__FnCalls!F79</f>
        <v>MMM 2016</v>
      </c>
      <c r="CC34" s="20" t="str">
        <f>ZZZ__FnCalls!F80</f>
        <v>MMM 2016</v>
      </c>
      <c r="CD34" s="20" t="str">
        <f>ZZZ__FnCalls!F81</f>
        <v>MMM 2016</v>
      </c>
      <c r="CE34" s="20" t="str">
        <f>ZZZ__FnCalls!F82</f>
        <v>MMM 2016</v>
      </c>
      <c r="CF34" s="20" t="str">
        <f>ZZZ__FnCalls!F83</f>
        <v>MMM 2016</v>
      </c>
      <c r="CG34" s="20" t="str">
        <f>ZZZ__FnCalls!F84</f>
        <v>MMM 2016</v>
      </c>
      <c r="CH34" s="20" t="str">
        <f>ZZZ__FnCalls!F85</f>
        <v>MMM 2016</v>
      </c>
      <c r="CI34" s="20" t="str">
        <f>ZZZ__FnCalls!F86</f>
        <v>MMM 2016</v>
      </c>
      <c r="CJ34" s="20" t="str">
        <f>ZZZ__FnCalls!F87</f>
        <v>MMM 2016</v>
      </c>
      <c r="CK34" s="20" t="str">
        <f>ZZZ__FnCalls!F88</f>
        <v>MMM 2016</v>
      </c>
      <c r="CL34" s="20" t="str">
        <f>ZZZ__FnCalls!F89</f>
        <v>MMM 2016</v>
      </c>
      <c r="CM34" s="20" t="str">
        <f>ZZZ__FnCalls!F90</f>
        <v>MMM 2016</v>
      </c>
      <c r="CN34" s="21" t="str">
        <f>ZZZ__FnCalls!H79</f>
        <v>2016</v>
      </c>
      <c r="CO34" s="20" t="str">
        <f>ZZZ__FnCalls!F91</f>
        <v>MMM 2017</v>
      </c>
      <c r="CP34" s="20" t="str">
        <f>ZZZ__FnCalls!F92</f>
        <v>MMM 2017</v>
      </c>
      <c r="CQ34" s="20" t="str">
        <f>ZZZ__FnCalls!F93</f>
        <v>MMM 2017</v>
      </c>
      <c r="CR34" s="20" t="str">
        <f>ZZZ__FnCalls!F94</f>
        <v>MMM 2017</v>
      </c>
      <c r="CS34" s="20" t="str">
        <f>ZZZ__FnCalls!F95</f>
        <v>MMM 2017</v>
      </c>
      <c r="CT34" s="20" t="str">
        <f>ZZZ__FnCalls!F96</f>
        <v>MMM 2017</v>
      </c>
      <c r="CU34" s="20" t="str">
        <f>ZZZ__FnCalls!F97</f>
        <v>MMM 2017</v>
      </c>
      <c r="CV34" s="20" t="str">
        <f>ZZZ__FnCalls!F98</f>
        <v>MMM 2017</v>
      </c>
      <c r="CW34" s="20" t="str">
        <f>ZZZ__FnCalls!F99</f>
        <v>MMM 2017</v>
      </c>
      <c r="CX34" s="20" t="str">
        <f>ZZZ__FnCalls!F100</f>
        <v>MMM 2017</v>
      </c>
      <c r="CY34" s="20" t="str">
        <f>ZZZ__FnCalls!F101</f>
        <v>MMM 2017</v>
      </c>
      <c r="CZ34" s="20" t="str">
        <f>ZZZ__FnCalls!F102</f>
        <v>MMM 2017</v>
      </c>
      <c r="DA34" s="21" t="str">
        <f>ZZZ__FnCalls!H91</f>
        <v>2017</v>
      </c>
      <c r="DB34" s="20" t="str">
        <f>ZZZ__FnCalls!F103</f>
        <v>MMM 2018</v>
      </c>
      <c r="DC34" s="20" t="str">
        <f>ZZZ__FnCalls!F104</f>
        <v>MMM 2018</v>
      </c>
      <c r="DD34" s="20" t="str">
        <f>ZZZ__FnCalls!F105</f>
        <v>MMM 2018</v>
      </c>
      <c r="DE34" s="20" t="str">
        <f>ZZZ__FnCalls!F106</f>
        <v>MMM 2018</v>
      </c>
      <c r="DF34" s="20" t="str">
        <f>ZZZ__FnCalls!F107</f>
        <v>MMM 2018</v>
      </c>
      <c r="DG34" s="20" t="str">
        <f>ZZZ__FnCalls!F108</f>
        <v>MMM 2018</v>
      </c>
      <c r="DH34" s="20" t="str">
        <f>ZZZ__FnCalls!F109</f>
        <v>MMM 2018</v>
      </c>
      <c r="DI34" s="20" t="str">
        <f>ZZZ__FnCalls!F110</f>
        <v>MMM 2018</v>
      </c>
      <c r="DJ34" s="20" t="str">
        <f>ZZZ__FnCalls!F111</f>
        <v>MMM 2018</v>
      </c>
      <c r="DK34" s="20" t="str">
        <f>ZZZ__FnCalls!F112</f>
        <v>MMM 2018</v>
      </c>
      <c r="DL34" s="20" t="str">
        <f>ZZZ__FnCalls!F113</f>
        <v>MMM 2018</v>
      </c>
      <c r="DM34" s="20" t="str">
        <f>ZZZ__FnCalls!F114</f>
        <v>MMM 2018</v>
      </c>
      <c r="DN34" s="21" t="str">
        <f>ZZZ__FnCalls!H103</f>
        <v>2018</v>
      </c>
      <c r="DO34" s="20" t="str">
        <f>ZZZ__FnCalls!F115</f>
        <v>MMM 2019</v>
      </c>
      <c r="DP34" s="20" t="str">
        <f>ZZZ__FnCalls!F116</f>
        <v>MMM 2019</v>
      </c>
      <c r="DQ34" s="20" t="str">
        <f>ZZZ__FnCalls!F117</f>
        <v>MMM 2019</v>
      </c>
      <c r="DR34" s="20" t="str">
        <f>ZZZ__FnCalls!F118</f>
        <v>MMM 2019</v>
      </c>
      <c r="DS34" s="20" t="str">
        <f>ZZZ__FnCalls!F119</f>
        <v>MMM 2019</v>
      </c>
      <c r="DT34" s="20" t="str">
        <f>ZZZ__FnCalls!F120</f>
        <v>MMM 2019</v>
      </c>
      <c r="DU34" s="20" t="str">
        <f>ZZZ__FnCalls!F121</f>
        <v>MMM 2019</v>
      </c>
      <c r="DV34" s="20" t="str">
        <f>ZZZ__FnCalls!F122</f>
        <v>MMM 2019</v>
      </c>
      <c r="DW34" s="20" t="str">
        <f>ZZZ__FnCalls!F123</f>
        <v>MMM 2019</v>
      </c>
      <c r="DX34" s="20" t="str">
        <f>ZZZ__FnCalls!F124</f>
        <v>MMM 2019</v>
      </c>
      <c r="DY34" s="20" t="str">
        <f>ZZZ__FnCalls!F125</f>
        <v>MMM 2019</v>
      </c>
      <c r="DZ34" s="20" t="str">
        <f>ZZZ__FnCalls!F126</f>
        <v>MMM 2019</v>
      </c>
      <c r="EA34" s="21" t="str">
        <f>ZZZ__FnCalls!H115</f>
        <v>2019</v>
      </c>
      <c r="EB34" s="20" t="str">
        <f>ZZZ__FnCalls!F127</f>
        <v>MMM 2020</v>
      </c>
      <c r="EC34" s="20" t="str">
        <f>ZZZ__FnCalls!F128</f>
        <v>MMM 2020</v>
      </c>
      <c r="ED34" s="20" t="str">
        <f>ZZZ__FnCalls!F129</f>
        <v>MMM 2020</v>
      </c>
      <c r="EE34" s="20" t="str">
        <f>ZZZ__FnCalls!F130</f>
        <v>MMM 2020</v>
      </c>
      <c r="EF34" s="20" t="str">
        <f>ZZZ__FnCalls!F131</f>
        <v>MMM 2020</v>
      </c>
      <c r="EG34" s="20" t="str">
        <f>ZZZ__FnCalls!F132</f>
        <v>MMM 2020</v>
      </c>
      <c r="EH34" s="20" t="str">
        <f>ZZZ__FnCalls!F133</f>
        <v>MMM 2020</v>
      </c>
      <c r="EI34" s="20" t="str">
        <f>ZZZ__FnCalls!F134</f>
        <v>MMM 2020</v>
      </c>
      <c r="EJ34" s="20" t="str">
        <f>ZZZ__FnCalls!F135</f>
        <v>MMM 2020</v>
      </c>
      <c r="EK34" s="20" t="str">
        <f>ZZZ__FnCalls!F136</f>
        <v>MMM 2020</v>
      </c>
      <c r="EL34" s="20" t="str">
        <f>ZZZ__FnCalls!F137</f>
        <v>MMM 2020</v>
      </c>
      <c r="EM34" s="20" t="str">
        <f>ZZZ__FnCalls!F138</f>
        <v>MMM 2020</v>
      </c>
      <c r="EN34" s="21" t="str">
        <f>ZZZ__FnCalls!H127</f>
        <v>2020</v>
      </c>
    </row>
    <row r="35" spans="1:144" ht="12.75" customHeight="1" x14ac:dyDescent="0.2">
      <c r="A35" s="5"/>
      <c r="B35" s="46" t="str">
        <f>ZZZ__FnCalls!F7</f>
        <v>MMM 2010</v>
      </c>
      <c r="C35" s="46" t="str">
        <f>ZZZ__FnCalls!F8</f>
        <v>MMM 2010</v>
      </c>
      <c r="D35" s="46" t="str">
        <f>ZZZ__FnCalls!F9</f>
        <v>MMM 2010</v>
      </c>
      <c r="E35" s="46" t="str">
        <f>ZZZ__FnCalls!F10</f>
        <v>MMM 2010</v>
      </c>
      <c r="F35" s="46" t="str">
        <f>ZZZ__FnCalls!F11</f>
        <v>MMM 2010</v>
      </c>
      <c r="G35" s="46" t="str">
        <f>ZZZ__FnCalls!F12</f>
        <v>MMM 2010</v>
      </c>
      <c r="H35" s="46" t="str">
        <f>ZZZ__FnCalls!F13</f>
        <v>MMM 2010</v>
      </c>
      <c r="I35" s="46" t="str">
        <f>ZZZ__FnCalls!F14</f>
        <v>MMM 2010</v>
      </c>
      <c r="J35" s="46" t="str">
        <f>ZZZ__FnCalls!F15</f>
        <v>MMM 2010</v>
      </c>
      <c r="K35" s="46" t="str">
        <f>ZZZ__FnCalls!F16</f>
        <v>MMM 2010</v>
      </c>
      <c r="L35" s="46" t="str">
        <f>ZZZ__FnCalls!F17</f>
        <v>MMM 2010</v>
      </c>
      <c r="M35" s="46" t="str">
        <f>ZZZ__FnCalls!F18</f>
        <v>MMM 2010</v>
      </c>
      <c r="N35" s="47" t="str">
        <f>ZZZ__FnCalls!F7</f>
        <v>MMM 2010</v>
      </c>
      <c r="O35" s="46" t="str">
        <f>ZZZ__FnCalls!F19</f>
        <v>MMM 2011</v>
      </c>
      <c r="P35" s="46" t="str">
        <f>ZZZ__FnCalls!F20</f>
        <v>MMM 2011</v>
      </c>
      <c r="Q35" s="46" t="str">
        <f>ZZZ__FnCalls!F21</f>
        <v>MMM 2011</v>
      </c>
      <c r="R35" s="46" t="str">
        <f>ZZZ__FnCalls!F22</f>
        <v>MMM 2011</v>
      </c>
      <c r="S35" s="46" t="str">
        <f>ZZZ__FnCalls!F23</f>
        <v>MMM 2011</v>
      </c>
      <c r="T35" s="46" t="str">
        <f>ZZZ__FnCalls!F24</f>
        <v>MMM 2011</v>
      </c>
      <c r="U35" s="46" t="str">
        <f>ZZZ__FnCalls!F25</f>
        <v>MMM 2011</v>
      </c>
      <c r="V35" s="46" t="str">
        <f>ZZZ__FnCalls!F26</f>
        <v>MMM 2011</v>
      </c>
      <c r="W35" s="46" t="str">
        <f>ZZZ__FnCalls!F27</f>
        <v>MMM 2011</v>
      </c>
      <c r="X35" s="46" t="str">
        <f>ZZZ__FnCalls!F28</f>
        <v>MMM 2011</v>
      </c>
      <c r="Y35" s="46" t="str">
        <f>ZZZ__FnCalls!F29</f>
        <v>MMM 2011</v>
      </c>
      <c r="Z35" s="46" t="str">
        <f>ZZZ__FnCalls!F30</f>
        <v>MMM 2011</v>
      </c>
      <c r="AA35" s="47" t="str">
        <f>ZZZ__FnCalls!F19</f>
        <v>MMM 2011</v>
      </c>
      <c r="AB35" s="46" t="str">
        <f>ZZZ__FnCalls!F31</f>
        <v>MMM 2012</v>
      </c>
      <c r="AC35" s="46" t="str">
        <f>ZZZ__FnCalls!F32</f>
        <v>MMM 2012</v>
      </c>
      <c r="AD35" s="46" t="str">
        <f>ZZZ__FnCalls!F33</f>
        <v>MMM 2012</v>
      </c>
      <c r="AE35" s="46" t="str">
        <f>ZZZ__FnCalls!F34</f>
        <v>MMM 2012</v>
      </c>
      <c r="AF35" s="46" t="str">
        <f>ZZZ__FnCalls!F35</f>
        <v>MMM 2012</v>
      </c>
      <c r="AG35" s="46" t="str">
        <f>ZZZ__FnCalls!F36</f>
        <v>MMM 2012</v>
      </c>
      <c r="AH35" s="46" t="str">
        <f>ZZZ__FnCalls!F37</f>
        <v>MMM 2012</v>
      </c>
      <c r="AI35" s="46" t="str">
        <f>ZZZ__FnCalls!F38</f>
        <v>MMM 2012</v>
      </c>
      <c r="AJ35" s="46" t="str">
        <f>ZZZ__FnCalls!F39</f>
        <v>MMM 2012</v>
      </c>
      <c r="AK35" s="46" t="str">
        <f>ZZZ__FnCalls!F40</f>
        <v>MMM 2012</v>
      </c>
      <c r="AL35" s="46" t="str">
        <f>ZZZ__FnCalls!F41</f>
        <v>MMM 2012</v>
      </c>
      <c r="AM35" s="46" t="str">
        <f>ZZZ__FnCalls!F42</f>
        <v>MMM 2012</v>
      </c>
      <c r="AN35" s="47" t="str">
        <f>ZZZ__FnCalls!F31</f>
        <v>MMM 2012</v>
      </c>
      <c r="AO35" s="46" t="str">
        <f>ZZZ__FnCalls!F43</f>
        <v>MMM 2013</v>
      </c>
      <c r="AP35" s="46" t="str">
        <f>ZZZ__FnCalls!F44</f>
        <v>MMM 2013</v>
      </c>
      <c r="AQ35" s="46" t="str">
        <f>ZZZ__FnCalls!F45</f>
        <v>MMM 2013</v>
      </c>
      <c r="AR35" s="46" t="str">
        <f>ZZZ__FnCalls!F46</f>
        <v>MMM 2013</v>
      </c>
      <c r="AS35" s="46" t="str">
        <f>ZZZ__FnCalls!F47</f>
        <v>MMM 2013</v>
      </c>
      <c r="AT35" s="46" t="str">
        <f>ZZZ__FnCalls!F48</f>
        <v>MMM 2013</v>
      </c>
      <c r="AU35" s="46" t="str">
        <f>ZZZ__FnCalls!F49</f>
        <v>MMM 2013</v>
      </c>
      <c r="AV35" s="46" t="str">
        <f>ZZZ__FnCalls!F50</f>
        <v>MMM 2013</v>
      </c>
      <c r="AW35" s="46" t="str">
        <f>ZZZ__FnCalls!F51</f>
        <v>MMM 2013</v>
      </c>
      <c r="AX35" s="46" t="str">
        <f>ZZZ__FnCalls!F52</f>
        <v>MMM 2013</v>
      </c>
      <c r="AY35" s="46" t="str">
        <f>ZZZ__FnCalls!F53</f>
        <v>MMM 2013</v>
      </c>
      <c r="AZ35" s="46" t="str">
        <f>ZZZ__FnCalls!F54</f>
        <v>MMM 2013</v>
      </c>
      <c r="BA35" s="47" t="str">
        <f>ZZZ__FnCalls!F43</f>
        <v>MMM 2013</v>
      </c>
      <c r="BB35" s="46" t="str">
        <f>ZZZ__FnCalls!F55</f>
        <v>MMM 2014</v>
      </c>
      <c r="BC35" s="46" t="str">
        <f>ZZZ__FnCalls!F56</f>
        <v>MMM 2014</v>
      </c>
      <c r="BD35" s="46" t="str">
        <f>ZZZ__FnCalls!F57</f>
        <v>MMM 2014</v>
      </c>
      <c r="BE35" s="46" t="str">
        <f>ZZZ__FnCalls!F58</f>
        <v>MMM 2014</v>
      </c>
      <c r="BF35" s="46" t="str">
        <f>ZZZ__FnCalls!F59</f>
        <v>MMM 2014</v>
      </c>
      <c r="BG35" s="46" t="str">
        <f>ZZZ__FnCalls!F60</f>
        <v>MMM 2014</v>
      </c>
      <c r="BH35" s="46" t="str">
        <f>ZZZ__FnCalls!F61</f>
        <v>MMM 2014</v>
      </c>
      <c r="BI35" s="46" t="str">
        <f>ZZZ__FnCalls!F62</f>
        <v>MMM 2014</v>
      </c>
      <c r="BJ35" s="46" t="str">
        <f>ZZZ__FnCalls!F63</f>
        <v>MMM 2014</v>
      </c>
      <c r="BK35" s="46" t="str">
        <f>ZZZ__FnCalls!F64</f>
        <v>MMM 2014</v>
      </c>
      <c r="BL35" s="46" t="str">
        <f>ZZZ__FnCalls!F65</f>
        <v>MMM 2014</v>
      </c>
      <c r="BM35" s="46" t="str">
        <f>ZZZ__FnCalls!F66</f>
        <v>MMM 2014</v>
      </c>
      <c r="BN35" s="47" t="str">
        <f>ZZZ__FnCalls!F55</f>
        <v>MMM 2014</v>
      </c>
      <c r="BO35" s="46" t="str">
        <f>ZZZ__FnCalls!F67</f>
        <v>MMM 2015</v>
      </c>
      <c r="BP35" s="46" t="str">
        <f>ZZZ__FnCalls!F68</f>
        <v>MMM 2015</v>
      </c>
      <c r="BQ35" s="46" t="str">
        <f>ZZZ__FnCalls!F69</f>
        <v>MMM 2015</v>
      </c>
      <c r="BR35" s="46" t="str">
        <f>ZZZ__FnCalls!F70</f>
        <v>MMM 2015</v>
      </c>
      <c r="BS35" s="46" t="str">
        <f>ZZZ__FnCalls!F71</f>
        <v>MMM 2015</v>
      </c>
      <c r="BT35" s="46" t="str">
        <f>ZZZ__FnCalls!F72</f>
        <v>MMM 2015</v>
      </c>
      <c r="BU35" s="46" t="str">
        <f>ZZZ__FnCalls!F73</f>
        <v>MMM 2015</v>
      </c>
      <c r="BV35" s="46" t="str">
        <f>ZZZ__FnCalls!F74</f>
        <v>MMM 2015</v>
      </c>
      <c r="BW35" s="46" t="str">
        <f>ZZZ__FnCalls!F75</f>
        <v>MMM 2015</v>
      </c>
      <c r="BX35" s="46" t="str">
        <f>ZZZ__FnCalls!F76</f>
        <v>MMM 2015</v>
      </c>
      <c r="BY35" s="46" t="str">
        <f>ZZZ__FnCalls!F77</f>
        <v>MMM 2015</v>
      </c>
      <c r="BZ35" s="46" t="str">
        <f>ZZZ__FnCalls!F78</f>
        <v>MMM 2015</v>
      </c>
      <c r="CA35" s="47" t="str">
        <f>ZZZ__FnCalls!F67</f>
        <v>MMM 2015</v>
      </c>
      <c r="CB35" s="46" t="str">
        <f>ZZZ__FnCalls!F79</f>
        <v>MMM 2016</v>
      </c>
      <c r="CC35" s="46" t="str">
        <f>ZZZ__FnCalls!F80</f>
        <v>MMM 2016</v>
      </c>
      <c r="CD35" s="46" t="str">
        <f>ZZZ__FnCalls!F81</f>
        <v>MMM 2016</v>
      </c>
      <c r="CE35" s="46" t="str">
        <f>ZZZ__FnCalls!F82</f>
        <v>MMM 2016</v>
      </c>
      <c r="CF35" s="46" t="str">
        <f>ZZZ__FnCalls!F83</f>
        <v>MMM 2016</v>
      </c>
      <c r="CG35" s="46" t="str">
        <f>ZZZ__FnCalls!F84</f>
        <v>MMM 2016</v>
      </c>
      <c r="CH35" s="46" t="str">
        <f>ZZZ__FnCalls!F85</f>
        <v>MMM 2016</v>
      </c>
      <c r="CI35" s="46" t="str">
        <f>ZZZ__FnCalls!F86</f>
        <v>MMM 2016</v>
      </c>
      <c r="CJ35" s="46" t="str">
        <f>ZZZ__FnCalls!F87</f>
        <v>MMM 2016</v>
      </c>
      <c r="CK35" s="46" t="str">
        <f>ZZZ__FnCalls!F88</f>
        <v>MMM 2016</v>
      </c>
      <c r="CL35" s="46" t="str">
        <f>ZZZ__FnCalls!F89</f>
        <v>MMM 2016</v>
      </c>
      <c r="CM35" s="46" t="str">
        <f>ZZZ__FnCalls!F90</f>
        <v>MMM 2016</v>
      </c>
      <c r="CN35" s="47" t="str">
        <f>ZZZ__FnCalls!F79</f>
        <v>MMM 2016</v>
      </c>
      <c r="CO35" s="46" t="str">
        <f>ZZZ__FnCalls!F91</f>
        <v>MMM 2017</v>
      </c>
      <c r="CP35" s="46" t="str">
        <f>ZZZ__FnCalls!F92</f>
        <v>MMM 2017</v>
      </c>
      <c r="CQ35" s="46" t="str">
        <f>ZZZ__FnCalls!F93</f>
        <v>MMM 2017</v>
      </c>
      <c r="CR35" s="46" t="str">
        <f>ZZZ__FnCalls!F94</f>
        <v>MMM 2017</v>
      </c>
      <c r="CS35" s="46" t="str">
        <f>ZZZ__FnCalls!F95</f>
        <v>MMM 2017</v>
      </c>
      <c r="CT35" s="46" t="str">
        <f>ZZZ__FnCalls!F96</f>
        <v>MMM 2017</v>
      </c>
      <c r="CU35" s="46" t="str">
        <f>ZZZ__FnCalls!F97</f>
        <v>MMM 2017</v>
      </c>
      <c r="CV35" s="46" t="str">
        <f>ZZZ__FnCalls!F98</f>
        <v>MMM 2017</v>
      </c>
      <c r="CW35" s="46" t="str">
        <f>ZZZ__FnCalls!F99</f>
        <v>MMM 2017</v>
      </c>
      <c r="CX35" s="46" t="str">
        <f>ZZZ__FnCalls!F100</f>
        <v>MMM 2017</v>
      </c>
      <c r="CY35" s="46" t="str">
        <f>ZZZ__FnCalls!F101</f>
        <v>MMM 2017</v>
      </c>
      <c r="CZ35" s="46" t="str">
        <f>ZZZ__FnCalls!F102</f>
        <v>MMM 2017</v>
      </c>
      <c r="DA35" s="47" t="str">
        <f>ZZZ__FnCalls!F91</f>
        <v>MMM 2017</v>
      </c>
      <c r="DB35" s="46" t="str">
        <f>ZZZ__FnCalls!F103</f>
        <v>MMM 2018</v>
      </c>
      <c r="DC35" s="46" t="str">
        <f>ZZZ__FnCalls!F104</f>
        <v>MMM 2018</v>
      </c>
      <c r="DD35" s="46" t="str">
        <f>ZZZ__FnCalls!F105</f>
        <v>MMM 2018</v>
      </c>
      <c r="DE35" s="46" t="str">
        <f>ZZZ__FnCalls!F106</f>
        <v>MMM 2018</v>
      </c>
      <c r="DF35" s="46" t="str">
        <f>ZZZ__FnCalls!F107</f>
        <v>MMM 2018</v>
      </c>
      <c r="DG35" s="46" t="str">
        <f>ZZZ__FnCalls!F108</f>
        <v>MMM 2018</v>
      </c>
      <c r="DH35" s="46" t="str">
        <f>ZZZ__FnCalls!F109</f>
        <v>MMM 2018</v>
      </c>
      <c r="DI35" s="46" t="str">
        <f>ZZZ__FnCalls!F110</f>
        <v>MMM 2018</v>
      </c>
      <c r="DJ35" s="46" t="str">
        <f>ZZZ__FnCalls!F111</f>
        <v>MMM 2018</v>
      </c>
      <c r="DK35" s="46" t="str">
        <f>ZZZ__FnCalls!F112</f>
        <v>MMM 2018</v>
      </c>
      <c r="DL35" s="46" t="str">
        <f>ZZZ__FnCalls!F113</f>
        <v>MMM 2018</v>
      </c>
      <c r="DM35" s="46" t="str">
        <f>ZZZ__FnCalls!F114</f>
        <v>MMM 2018</v>
      </c>
      <c r="DN35" s="47" t="str">
        <f>ZZZ__FnCalls!F103</f>
        <v>MMM 2018</v>
      </c>
      <c r="DO35" s="46" t="str">
        <f>ZZZ__FnCalls!F115</f>
        <v>MMM 2019</v>
      </c>
      <c r="DP35" s="46" t="str">
        <f>ZZZ__FnCalls!F116</f>
        <v>MMM 2019</v>
      </c>
      <c r="DQ35" s="46" t="str">
        <f>ZZZ__FnCalls!F117</f>
        <v>MMM 2019</v>
      </c>
      <c r="DR35" s="46" t="str">
        <f>ZZZ__FnCalls!F118</f>
        <v>MMM 2019</v>
      </c>
      <c r="DS35" s="46" t="str">
        <f>ZZZ__FnCalls!F119</f>
        <v>MMM 2019</v>
      </c>
      <c r="DT35" s="46" t="str">
        <f>ZZZ__FnCalls!F120</f>
        <v>MMM 2019</v>
      </c>
      <c r="DU35" s="46" t="str">
        <f>ZZZ__FnCalls!F121</f>
        <v>MMM 2019</v>
      </c>
      <c r="DV35" s="46" t="str">
        <f>ZZZ__FnCalls!F122</f>
        <v>MMM 2019</v>
      </c>
      <c r="DW35" s="46" t="str">
        <f>ZZZ__FnCalls!F123</f>
        <v>MMM 2019</v>
      </c>
      <c r="DX35" s="46" t="str">
        <f>ZZZ__FnCalls!F124</f>
        <v>MMM 2019</v>
      </c>
      <c r="DY35" s="46" t="str">
        <f>ZZZ__FnCalls!F125</f>
        <v>MMM 2019</v>
      </c>
      <c r="DZ35" s="46" t="str">
        <f>ZZZ__FnCalls!F126</f>
        <v>MMM 2019</v>
      </c>
      <c r="EA35" s="47" t="str">
        <f>ZZZ__FnCalls!F115</f>
        <v>MMM 2019</v>
      </c>
      <c r="EB35" s="46" t="str">
        <f>ZZZ__FnCalls!F127</f>
        <v>MMM 2020</v>
      </c>
      <c r="EC35" s="46" t="str">
        <f>ZZZ__FnCalls!F128</f>
        <v>MMM 2020</v>
      </c>
      <c r="ED35" s="46" t="str">
        <f>ZZZ__FnCalls!F129</f>
        <v>MMM 2020</v>
      </c>
      <c r="EE35" s="46" t="str">
        <f>ZZZ__FnCalls!F130</f>
        <v>MMM 2020</v>
      </c>
      <c r="EF35" s="46" t="str">
        <f>ZZZ__FnCalls!F131</f>
        <v>MMM 2020</v>
      </c>
      <c r="EG35" s="46" t="str">
        <f>ZZZ__FnCalls!F132</f>
        <v>MMM 2020</v>
      </c>
      <c r="EH35" s="46" t="str">
        <f>ZZZ__FnCalls!F133</f>
        <v>MMM 2020</v>
      </c>
      <c r="EI35" s="46" t="str">
        <f>ZZZ__FnCalls!F134</f>
        <v>MMM 2020</v>
      </c>
      <c r="EJ35" s="46" t="str">
        <f>ZZZ__FnCalls!F135</f>
        <v>MMM 2020</v>
      </c>
      <c r="EK35" s="46" t="str">
        <f>ZZZ__FnCalls!F136</f>
        <v>MMM 2020</v>
      </c>
      <c r="EL35" s="46" t="str">
        <f>ZZZ__FnCalls!F137</f>
        <v>MMM 2020</v>
      </c>
      <c r="EM35" s="46" t="str">
        <f>ZZZ__FnCalls!F138</f>
        <v>MMM 2020</v>
      </c>
      <c r="EN35" s="47" t="str">
        <f>ZZZ__FnCalls!F127</f>
        <v>MMM 2020</v>
      </c>
    </row>
    <row r="36" spans="1:144" ht="12.75" customHeight="1" x14ac:dyDescent="0.2">
      <c r="A36" s="2" t="str">
        <f>"Output_1"</f>
        <v>Output_1</v>
      </c>
    </row>
    <row r="37" spans="1:144" ht="12.75" customHeight="1" x14ac:dyDescent="0.2">
      <c r="B37" s="19" t="str">
        <f>ZZZ__FnCalls!F7</f>
        <v>MMM 2010</v>
      </c>
      <c r="C37" s="20" t="str">
        <f>ZZZ__FnCalls!F8</f>
        <v>MMM 2010</v>
      </c>
      <c r="D37" s="20" t="str">
        <f>ZZZ__FnCalls!F9</f>
        <v>MMM 2010</v>
      </c>
      <c r="E37" s="20" t="str">
        <f>ZZZ__FnCalls!F10</f>
        <v>MMM 2010</v>
      </c>
      <c r="F37" s="20" t="str">
        <f>ZZZ__FnCalls!F11</f>
        <v>MMM 2010</v>
      </c>
      <c r="G37" s="20" t="str">
        <f>ZZZ__FnCalls!F12</f>
        <v>MMM 2010</v>
      </c>
      <c r="H37" s="20" t="str">
        <f>ZZZ__FnCalls!F13</f>
        <v>MMM 2010</v>
      </c>
      <c r="I37" s="20" t="str">
        <f>ZZZ__FnCalls!F14</f>
        <v>MMM 2010</v>
      </c>
      <c r="J37" s="20" t="str">
        <f>ZZZ__FnCalls!F15</f>
        <v>MMM 2010</v>
      </c>
      <c r="K37" s="20" t="str">
        <f>ZZZ__FnCalls!F16</f>
        <v>MMM 2010</v>
      </c>
      <c r="L37" s="20" t="str">
        <f>ZZZ__FnCalls!F17</f>
        <v>MMM 2010</v>
      </c>
      <c r="M37" s="20" t="str">
        <f>ZZZ__FnCalls!F18</f>
        <v>MMM 2010</v>
      </c>
      <c r="N37" s="21" t="str">
        <f>ZZZ__FnCalls!H7</f>
        <v>2010</v>
      </c>
      <c r="O37" s="20" t="str">
        <f>ZZZ__FnCalls!F19</f>
        <v>MMM 2011</v>
      </c>
      <c r="P37" s="20" t="str">
        <f>ZZZ__FnCalls!F20</f>
        <v>MMM 2011</v>
      </c>
      <c r="Q37" s="20" t="str">
        <f>ZZZ__FnCalls!F21</f>
        <v>MMM 2011</v>
      </c>
      <c r="R37" s="20" t="str">
        <f>ZZZ__FnCalls!F22</f>
        <v>MMM 2011</v>
      </c>
      <c r="S37" s="20" t="str">
        <f>ZZZ__FnCalls!F23</f>
        <v>MMM 2011</v>
      </c>
      <c r="T37" s="20" t="str">
        <f>ZZZ__FnCalls!F24</f>
        <v>MMM 2011</v>
      </c>
      <c r="U37" s="20" t="str">
        <f>ZZZ__FnCalls!F25</f>
        <v>MMM 2011</v>
      </c>
      <c r="V37" s="20" t="str">
        <f>ZZZ__FnCalls!F26</f>
        <v>MMM 2011</v>
      </c>
      <c r="W37" s="20" t="str">
        <f>ZZZ__FnCalls!F27</f>
        <v>MMM 2011</v>
      </c>
      <c r="X37" s="20" t="str">
        <f>ZZZ__FnCalls!F28</f>
        <v>MMM 2011</v>
      </c>
      <c r="Y37" s="20" t="str">
        <f>ZZZ__FnCalls!F29</f>
        <v>MMM 2011</v>
      </c>
      <c r="Z37" s="20" t="str">
        <f>ZZZ__FnCalls!F30</f>
        <v>MMM 2011</v>
      </c>
      <c r="AA37" s="21" t="str">
        <f>ZZZ__FnCalls!H19</f>
        <v>2011</v>
      </c>
      <c r="AB37" s="20" t="str">
        <f>ZZZ__FnCalls!F31</f>
        <v>MMM 2012</v>
      </c>
      <c r="AC37" s="20" t="str">
        <f>ZZZ__FnCalls!F32</f>
        <v>MMM 2012</v>
      </c>
      <c r="AD37" s="20" t="str">
        <f>ZZZ__FnCalls!F33</f>
        <v>MMM 2012</v>
      </c>
      <c r="AE37" s="20" t="str">
        <f>ZZZ__FnCalls!F34</f>
        <v>MMM 2012</v>
      </c>
      <c r="AF37" s="20" t="str">
        <f>ZZZ__FnCalls!F35</f>
        <v>MMM 2012</v>
      </c>
      <c r="AG37" s="20" t="str">
        <f>ZZZ__FnCalls!F36</f>
        <v>MMM 2012</v>
      </c>
      <c r="AH37" s="20" t="str">
        <f>ZZZ__FnCalls!F37</f>
        <v>MMM 2012</v>
      </c>
      <c r="AI37" s="20" t="str">
        <f>ZZZ__FnCalls!F38</f>
        <v>MMM 2012</v>
      </c>
      <c r="AJ37" s="20" t="str">
        <f>ZZZ__FnCalls!F39</f>
        <v>MMM 2012</v>
      </c>
      <c r="AK37" s="20" t="str">
        <f>ZZZ__FnCalls!F40</f>
        <v>MMM 2012</v>
      </c>
      <c r="AL37" s="20" t="str">
        <f>ZZZ__FnCalls!F41</f>
        <v>MMM 2012</v>
      </c>
      <c r="AM37" s="20" t="str">
        <f>ZZZ__FnCalls!F42</f>
        <v>MMM 2012</v>
      </c>
      <c r="AN37" s="21" t="str">
        <f>ZZZ__FnCalls!H31</f>
        <v>2012</v>
      </c>
      <c r="AO37" s="20" t="str">
        <f>ZZZ__FnCalls!F43</f>
        <v>MMM 2013</v>
      </c>
      <c r="AP37" s="20" t="str">
        <f>ZZZ__FnCalls!F44</f>
        <v>MMM 2013</v>
      </c>
      <c r="AQ37" s="20" t="str">
        <f>ZZZ__FnCalls!F45</f>
        <v>MMM 2013</v>
      </c>
      <c r="AR37" s="20" t="str">
        <f>ZZZ__FnCalls!F46</f>
        <v>MMM 2013</v>
      </c>
      <c r="AS37" s="20" t="str">
        <f>ZZZ__FnCalls!F47</f>
        <v>MMM 2013</v>
      </c>
      <c r="AT37" s="20" t="str">
        <f>ZZZ__FnCalls!F48</f>
        <v>MMM 2013</v>
      </c>
      <c r="AU37" s="20" t="str">
        <f>ZZZ__FnCalls!F49</f>
        <v>MMM 2013</v>
      </c>
      <c r="AV37" s="20" t="str">
        <f>ZZZ__FnCalls!F50</f>
        <v>MMM 2013</v>
      </c>
      <c r="AW37" s="20" t="str">
        <f>ZZZ__FnCalls!F51</f>
        <v>MMM 2013</v>
      </c>
      <c r="AX37" s="20" t="str">
        <f>ZZZ__FnCalls!F52</f>
        <v>MMM 2013</v>
      </c>
      <c r="AY37" s="20" t="str">
        <f>ZZZ__FnCalls!F53</f>
        <v>MMM 2013</v>
      </c>
      <c r="AZ37" s="20" t="str">
        <f>ZZZ__FnCalls!F54</f>
        <v>MMM 2013</v>
      </c>
      <c r="BA37" s="21" t="str">
        <f>ZZZ__FnCalls!H43</f>
        <v>2013</v>
      </c>
      <c r="BB37" s="20" t="str">
        <f>ZZZ__FnCalls!F55</f>
        <v>MMM 2014</v>
      </c>
      <c r="BC37" s="20" t="str">
        <f>ZZZ__FnCalls!F56</f>
        <v>MMM 2014</v>
      </c>
      <c r="BD37" s="20" t="str">
        <f>ZZZ__FnCalls!F57</f>
        <v>MMM 2014</v>
      </c>
      <c r="BE37" s="20" t="str">
        <f>ZZZ__FnCalls!F58</f>
        <v>MMM 2014</v>
      </c>
      <c r="BF37" s="20" t="str">
        <f>ZZZ__FnCalls!F59</f>
        <v>MMM 2014</v>
      </c>
      <c r="BG37" s="20" t="str">
        <f>ZZZ__FnCalls!F60</f>
        <v>MMM 2014</v>
      </c>
      <c r="BH37" s="20" t="str">
        <f>ZZZ__FnCalls!F61</f>
        <v>MMM 2014</v>
      </c>
      <c r="BI37" s="20" t="str">
        <f>ZZZ__FnCalls!F62</f>
        <v>MMM 2014</v>
      </c>
      <c r="BJ37" s="20" t="str">
        <f>ZZZ__FnCalls!F63</f>
        <v>MMM 2014</v>
      </c>
      <c r="BK37" s="20" t="str">
        <f>ZZZ__FnCalls!F64</f>
        <v>MMM 2014</v>
      </c>
      <c r="BL37" s="20" t="str">
        <f>ZZZ__FnCalls!F65</f>
        <v>MMM 2014</v>
      </c>
      <c r="BM37" s="20" t="str">
        <f>ZZZ__FnCalls!F66</f>
        <v>MMM 2014</v>
      </c>
      <c r="BN37" s="21" t="str">
        <f>ZZZ__FnCalls!H55</f>
        <v>2014</v>
      </c>
      <c r="BO37" s="20" t="str">
        <f>ZZZ__FnCalls!F67</f>
        <v>MMM 2015</v>
      </c>
      <c r="BP37" s="20" t="str">
        <f>ZZZ__FnCalls!F68</f>
        <v>MMM 2015</v>
      </c>
      <c r="BQ37" s="20" t="str">
        <f>ZZZ__FnCalls!F69</f>
        <v>MMM 2015</v>
      </c>
      <c r="BR37" s="20" t="str">
        <f>ZZZ__FnCalls!F70</f>
        <v>MMM 2015</v>
      </c>
      <c r="BS37" s="20" t="str">
        <f>ZZZ__FnCalls!F71</f>
        <v>MMM 2015</v>
      </c>
      <c r="BT37" s="20" t="str">
        <f>ZZZ__FnCalls!F72</f>
        <v>MMM 2015</v>
      </c>
      <c r="BU37" s="20" t="str">
        <f>ZZZ__FnCalls!F73</f>
        <v>MMM 2015</v>
      </c>
      <c r="BV37" s="20" t="str">
        <f>ZZZ__FnCalls!F74</f>
        <v>MMM 2015</v>
      </c>
      <c r="BW37" s="20" t="str">
        <f>ZZZ__FnCalls!F75</f>
        <v>MMM 2015</v>
      </c>
      <c r="BX37" s="20" t="str">
        <f>ZZZ__FnCalls!F76</f>
        <v>MMM 2015</v>
      </c>
      <c r="BY37" s="20" t="str">
        <f>ZZZ__FnCalls!F77</f>
        <v>MMM 2015</v>
      </c>
      <c r="BZ37" s="20" t="str">
        <f>ZZZ__FnCalls!F78</f>
        <v>MMM 2015</v>
      </c>
      <c r="CA37" s="21" t="str">
        <f>ZZZ__FnCalls!H67</f>
        <v>2015</v>
      </c>
      <c r="CB37" s="20" t="str">
        <f>ZZZ__FnCalls!F79</f>
        <v>MMM 2016</v>
      </c>
      <c r="CC37" s="20" t="str">
        <f>ZZZ__FnCalls!F80</f>
        <v>MMM 2016</v>
      </c>
      <c r="CD37" s="20" t="str">
        <f>ZZZ__FnCalls!F81</f>
        <v>MMM 2016</v>
      </c>
      <c r="CE37" s="20" t="str">
        <f>ZZZ__FnCalls!F82</f>
        <v>MMM 2016</v>
      </c>
      <c r="CF37" s="20" t="str">
        <f>ZZZ__FnCalls!F83</f>
        <v>MMM 2016</v>
      </c>
      <c r="CG37" s="20" t="str">
        <f>ZZZ__FnCalls!F84</f>
        <v>MMM 2016</v>
      </c>
      <c r="CH37" s="20" t="str">
        <f>ZZZ__FnCalls!F85</f>
        <v>MMM 2016</v>
      </c>
      <c r="CI37" s="20" t="str">
        <f>ZZZ__FnCalls!F86</f>
        <v>MMM 2016</v>
      </c>
      <c r="CJ37" s="20" t="str">
        <f>ZZZ__FnCalls!F87</f>
        <v>MMM 2016</v>
      </c>
      <c r="CK37" s="20" t="str">
        <f>ZZZ__FnCalls!F88</f>
        <v>MMM 2016</v>
      </c>
      <c r="CL37" s="20" t="str">
        <f>ZZZ__FnCalls!F89</f>
        <v>MMM 2016</v>
      </c>
      <c r="CM37" s="20" t="str">
        <f>ZZZ__FnCalls!F90</f>
        <v>MMM 2016</v>
      </c>
      <c r="CN37" s="21" t="str">
        <f>ZZZ__FnCalls!H79</f>
        <v>2016</v>
      </c>
      <c r="CO37" s="20" t="str">
        <f>ZZZ__FnCalls!F91</f>
        <v>MMM 2017</v>
      </c>
      <c r="CP37" s="20" t="str">
        <f>ZZZ__FnCalls!F92</f>
        <v>MMM 2017</v>
      </c>
      <c r="CQ37" s="20" t="str">
        <f>ZZZ__FnCalls!F93</f>
        <v>MMM 2017</v>
      </c>
      <c r="CR37" s="20" t="str">
        <f>ZZZ__FnCalls!F94</f>
        <v>MMM 2017</v>
      </c>
      <c r="CS37" s="20" t="str">
        <f>ZZZ__FnCalls!F95</f>
        <v>MMM 2017</v>
      </c>
      <c r="CT37" s="20" t="str">
        <f>ZZZ__FnCalls!F96</f>
        <v>MMM 2017</v>
      </c>
      <c r="CU37" s="20" t="str">
        <f>ZZZ__FnCalls!F97</f>
        <v>MMM 2017</v>
      </c>
      <c r="CV37" s="20" t="str">
        <f>ZZZ__FnCalls!F98</f>
        <v>MMM 2017</v>
      </c>
      <c r="CW37" s="20" t="str">
        <f>ZZZ__FnCalls!F99</f>
        <v>MMM 2017</v>
      </c>
      <c r="CX37" s="20" t="str">
        <f>ZZZ__FnCalls!F100</f>
        <v>MMM 2017</v>
      </c>
      <c r="CY37" s="20" t="str">
        <f>ZZZ__FnCalls!F101</f>
        <v>MMM 2017</v>
      </c>
      <c r="CZ37" s="20" t="str">
        <f>ZZZ__FnCalls!F102</f>
        <v>MMM 2017</v>
      </c>
      <c r="DA37" s="21" t="str">
        <f>ZZZ__FnCalls!H91</f>
        <v>2017</v>
      </c>
      <c r="DB37" s="20" t="str">
        <f>ZZZ__FnCalls!F103</f>
        <v>MMM 2018</v>
      </c>
      <c r="DC37" s="20" t="str">
        <f>ZZZ__FnCalls!F104</f>
        <v>MMM 2018</v>
      </c>
      <c r="DD37" s="20" t="str">
        <f>ZZZ__FnCalls!F105</f>
        <v>MMM 2018</v>
      </c>
      <c r="DE37" s="20" t="str">
        <f>ZZZ__FnCalls!F106</f>
        <v>MMM 2018</v>
      </c>
      <c r="DF37" s="20" t="str">
        <f>ZZZ__FnCalls!F107</f>
        <v>MMM 2018</v>
      </c>
      <c r="DG37" s="20" t="str">
        <f>ZZZ__FnCalls!F108</f>
        <v>MMM 2018</v>
      </c>
      <c r="DH37" s="20" t="str">
        <f>ZZZ__FnCalls!F109</f>
        <v>MMM 2018</v>
      </c>
      <c r="DI37" s="20" t="str">
        <f>ZZZ__FnCalls!F110</f>
        <v>MMM 2018</v>
      </c>
      <c r="DJ37" s="20" t="str">
        <f>ZZZ__FnCalls!F111</f>
        <v>MMM 2018</v>
      </c>
      <c r="DK37" s="20" t="str">
        <f>ZZZ__FnCalls!F112</f>
        <v>MMM 2018</v>
      </c>
      <c r="DL37" s="20" t="str">
        <f>ZZZ__FnCalls!F113</f>
        <v>MMM 2018</v>
      </c>
      <c r="DM37" s="20" t="str">
        <f>ZZZ__FnCalls!F114</f>
        <v>MMM 2018</v>
      </c>
      <c r="DN37" s="21" t="str">
        <f>ZZZ__FnCalls!H103</f>
        <v>2018</v>
      </c>
      <c r="DO37" s="20" t="str">
        <f>ZZZ__FnCalls!F115</f>
        <v>MMM 2019</v>
      </c>
      <c r="DP37" s="20" t="str">
        <f>ZZZ__FnCalls!F116</f>
        <v>MMM 2019</v>
      </c>
      <c r="DQ37" s="20" t="str">
        <f>ZZZ__FnCalls!F117</f>
        <v>MMM 2019</v>
      </c>
      <c r="DR37" s="20" t="str">
        <f>ZZZ__FnCalls!F118</f>
        <v>MMM 2019</v>
      </c>
      <c r="DS37" s="20" t="str">
        <f>ZZZ__FnCalls!F119</f>
        <v>MMM 2019</v>
      </c>
      <c r="DT37" s="20" t="str">
        <f>ZZZ__FnCalls!F120</f>
        <v>MMM 2019</v>
      </c>
      <c r="DU37" s="20" t="str">
        <f>ZZZ__FnCalls!F121</f>
        <v>MMM 2019</v>
      </c>
      <c r="DV37" s="20" t="str">
        <f>ZZZ__FnCalls!F122</f>
        <v>MMM 2019</v>
      </c>
      <c r="DW37" s="20" t="str">
        <f>ZZZ__FnCalls!F123</f>
        <v>MMM 2019</v>
      </c>
      <c r="DX37" s="20" t="str">
        <f>ZZZ__FnCalls!F124</f>
        <v>MMM 2019</v>
      </c>
      <c r="DY37" s="20" t="str">
        <f>ZZZ__FnCalls!F125</f>
        <v>MMM 2019</v>
      </c>
      <c r="DZ37" s="20" t="str">
        <f>ZZZ__FnCalls!F126</f>
        <v>MMM 2019</v>
      </c>
      <c r="EA37" s="21" t="str">
        <f>ZZZ__FnCalls!H115</f>
        <v>2019</v>
      </c>
      <c r="EB37" s="20" t="str">
        <f>ZZZ__FnCalls!F127</f>
        <v>MMM 2020</v>
      </c>
      <c r="EC37" s="20" t="str">
        <f>ZZZ__FnCalls!F128</f>
        <v>MMM 2020</v>
      </c>
      <c r="ED37" s="20" t="str">
        <f>ZZZ__FnCalls!F129</f>
        <v>MMM 2020</v>
      </c>
      <c r="EE37" s="20" t="str">
        <f>ZZZ__FnCalls!F130</f>
        <v>MMM 2020</v>
      </c>
      <c r="EF37" s="20" t="str">
        <f>ZZZ__FnCalls!F131</f>
        <v>MMM 2020</v>
      </c>
      <c r="EG37" s="20" t="str">
        <f>ZZZ__FnCalls!F132</f>
        <v>MMM 2020</v>
      </c>
      <c r="EH37" s="20" t="str">
        <f>ZZZ__FnCalls!F133</f>
        <v>MMM 2020</v>
      </c>
      <c r="EI37" s="20" t="str">
        <f>ZZZ__FnCalls!F134</f>
        <v>MMM 2020</v>
      </c>
      <c r="EJ37" s="20" t="str">
        <f>ZZZ__FnCalls!F135</f>
        <v>MMM 2020</v>
      </c>
      <c r="EK37" s="20" t="str">
        <f>ZZZ__FnCalls!F136</f>
        <v>MMM 2020</v>
      </c>
      <c r="EL37" s="20" t="str">
        <f>ZZZ__FnCalls!F137</f>
        <v>MMM 2020</v>
      </c>
      <c r="EM37" s="20" t="str">
        <f>ZZZ__FnCalls!F138</f>
        <v>MMM 2020</v>
      </c>
      <c r="EN37" s="21" t="str">
        <f>ZZZ__FnCalls!H127</f>
        <v>2020</v>
      </c>
    </row>
    <row r="38" spans="1:144" ht="12.75" customHeight="1" x14ac:dyDescent="0.2">
      <c r="A38" s="5"/>
      <c r="B38" s="46">
        <f>ZZZ__FnCalls!A7</f>
        <v>40179</v>
      </c>
      <c r="C38" s="46">
        <f>ZZZ__FnCalls!A8</f>
        <v>40210</v>
      </c>
      <c r="D38" s="46">
        <f>ZZZ__FnCalls!A9</f>
        <v>40238</v>
      </c>
      <c r="E38" s="46">
        <f>ZZZ__FnCalls!A10</f>
        <v>40269</v>
      </c>
      <c r="F38" s="46">
        <f>ZZZ__FnCalls!A11</f>
        <v>40299</v>
      </c>
      <c r="G38" s="46">
        <f>ZZZ__FnCalls!A12</f>
        <v>40330</v>
      </c>
      <c r="H38" s="46">
        <f>ZZZ__FnCalls!A13</f>
        <v>40360</v>
      </c>
      <c r="I38" s="46">
        <f>ZZZ__FnCalls!A14</f>
        <v>40391</v>
      </c>
      <c r="J38" s="46">
        <f>ZZZ__FnCalls!A15</f>
        <v>40422</v>
      </c>
      <c r="K38" s="46">
        <f>ZZZ__FnCalls!A16</f>
        <v>40452</v>
      </c>
      <c r="L38" s="46">
        <f>ZZZ__FnCalls!A17</f>
        <v>40483</v>
      </c>
      <c r="M38" s="46">
        <f>ZZZ__FnCalls!A18</f>
        <v>40513</v>
      </c>
      <c r="N38" s="47">
        <f>ZZZ__FnCalls!A7</f>
        <v>40179</v>
      </c>
      <c r="O38" s="46">
        <f>ZZZ__FnCalls!A19</f>
        <v>40544</v>
      </c>
      <c r="P38" s="46">
        <f>ZZZ__FnCalls!A20</f>
        <v>40575</v>
      </c>
      <c r="Q38" s="46">
        <f>ZZZ__FnCalls!A21</f>
        <v>40603</v>
      </c>
      <c r="R38" s="46">
        <f>ZZZ__FnCalls!A22</f>
        <v>40634</v>
      </c>
      <c r="S38" s="46">
        <f>ZZZ__FnCalls!A23</f>
        <v>40664</v>
      </c>
      <c r="T38" s="46">
        <f>ZZZ__FnCalls!A24</f>
        <v>40695</v>
      </c>
      <c r="U38" s="46">
        <f>ZZZ__FnCalls!A25</f>
        <v>40725</v>
      </c>
      <c r="V38" s="46">
        <f>ZZZ__FnCalls!A26</f>
        <v>40756</v>
      </c>
      <c r="W38" s="46">
        <f>ZZZ__FnCalls!A27</f>
        <v>40787</v>
      </c>
      <c r="X38" s="46">
        <f>ZZZ__FnCalls!A28</f>
        <v>40817</v>
      </c>
      <c r="Y38" s="46">
        <f>ZZZ__FnCalls!A29</f>
        <v>40848</v>
      </c>
      <c r="Z38" s="46">
        <f>ZZZ__FnCalls!A30</f>
        <v>40878</v>
      </c>
      <c r="AA38" s="47">
        <f>ZZZ__FnCalls!A19</f>
        <v>40544</v>
      </c>
      <c r="AB38" s="46">
        <f>ZZZ__FnCalls!A31</f>
        <v>40909</v>
      </c>
      <c r="AC38" s="46">
        <f>ZZZ__FnCalls!A32</f>
        <v>40940</v>
      </c>
      <c r="AD38" s="46">
        <f>ZZZ__FnCalls!A33</f>
        <v>40969</v>
      </c>
      <c r="AE38" s="46">
        <f>ZZZ__FnCalls!A34</f>
        <v>41000</v>
      </c>
      <c r="AF38" s="46">
        <f>ZZZ__FnCalls!A35</f>
        <v>41030</v>
      </c>
      <c r="AG38" s="46">
        <f>ZZZ__FnCalls!A36</f>
        <v>41061</v>
      </c>
      <c r="AH38" s="46">
        <f>ZZZ__FnCalls!A37</f>
        <v>41091</v>
      </c>
      <c r="AI38" s="46">
        <f>ZZZ__FnCalls!A38</f>
        <v>41122</v>
      </c>
      <c r="AJ38" s="46">
        <f>ZZZ__FnCalls!A39</f>
        <v>41153</v>
      </c>
      <c r="AK38" s="46">
        <f>ZZZ__FnCalls!A40</f>
        <v>41183</v>
      </c>
      <c r="AL38" s="46">
        <f>ZZZ__FnCalls!A41</f>
        <v>41214</v>
      </c>
      <c r="AM38" s="46">
        <f>ZZZ__FnCalls!A42</f>
        <v>41244</v>
      </c>
      <c r="AN38" s="47">
        <f>ZZZ__FnCalls!A31</f>
        <v>40909</v>
      </c>
      <c r="AO38" s="46">
        <f>ZZZ__FnCalls!A43</f>
        <v>41275</v>
      </c>
      <c r="AP38" s="46">
        <f>ZZZ__FnCalls!A44</f>
        <v>41306</v>
      </c>
      <c r="AQ38" s="46">
        <f>ZZZ__FnCalls!A45</f>
        <v>41334</v>
      </c>
      <c r="AR38" s="46">
        <f>ZZZ__FnCalls!A46</f>
        <v>41365</v>
      </c>
      <c r="AS38" s="46">
        <f>ZZZ__FnCalls!A47</f>
        <v>41395</v>
      </c>
      <c r="AT38" s="46">
        <f>ZZZ__FnCalls!A48</f>
        <v>41426</v>
      </c>
      <c r="AU38" s="46">
        <f>ZZZ__FnCalls!A49</f>
        <v>41456</v>
      </c>
      <c r="AV38" s="46">
        <f>ZZZ__FnCalls!A50</f>
        <v>41487</v>
      </c>
      <c r="AW38" s="46">
        <f>ZZZ__FnCalls!A51</f>
        <v>41518</v>
      </c>
      <c r="AX38" s="46">
        <f>ZZZ__FnCalls!A52</f>
        <v>41548</v>
      </c>
      <c r="AY38" s="46">
        <f>ZZZ__FnCalls!A53</f>
        <v>41579</v>
      </c>
      <c r="AZ38" s="46">
        <f>ZZZ__FnCalls!A54</f>
        <v>41609</v>
      </c>
      <c r="BA38" s="47">
        <f>ZZZ__FnCalls!A43</f>
        <v>41275</v>
      </c>
      <c r="BB38" s="46">
        <f>ZZZ__FnCalls!A55</f>
        <v>41640</v>
      </c>
      <c r="BC38" s="46">
        <f>ZZZ__FnCalls!A56</f>
        <v>41671</v>
      </c>
      <c r="BD38" s="46">
        <f>ZZZ__FnCalls!A57</f>
        <v>41699</v>
      </c>
      <c r="BE38" s="46">
        <f>ZZZ__FnCalls!A58</f>
        <v>41730</v>
      </c>
      <c r="BF38" s="46">
        <f>ZZZ__FnCalls!A59</f>
        <v>41760</v>
      </c>
      <c r="BG38" s="46">
        <f>ZZZ__FnCalls!A60</f>
        <v>41791</v>
      </c>
      <c r="BH38" s="46">
        <f>ZZZ__FnCalls!A61</f>
        <v>41821</v>
      </c>
      <c r="BI38" s="46">
        <f>ZZZ__FnCalls!A62</f>
        <v>41852</v>
      </c>
      <c r="BJ38" s="46">
        <f>ZZZ__FnCalls!A63</f>
        <v>41883</v>
      </c>
      <c r="BK38" s="46">
        <f>ZZZ__FnCalls!A64</f>
        <v>41913</v>
      </c>
      <c r="BL38" s="46">
        <f>ZZZ__FnCalls!A65</f>
        <v>41944</v>
      </c>
      <c r="BM38" s="46">
        <f>ZZZ__FnCalls!A66</f>
        <v>41974</v>
      </c>
      <c r="BN38" s="47">
        <f>ZZZ__FnCalls!A55</f>
        <v>41640</v>
      </c>
      <c r="BO38" s="46">
        <f>ZZZ__FnCalls!A67</f>
        <v>42005</v>
      </c>
      <c r="BP38" s="46">
        <f>ZZZ__FnCalls!A68</f>
        <v>42036</v>
      </c>
      <c r="BQ38" s="46">
        <f>ZZZ__FnCalls!A69</f>
        <v>42064</v>
      </c>
      <c r="BR38" s="46">
        <f>ZZZ__FnCalls!A70</f>
        <v>42095</v>
      </c>
      <c r="BS38" s="46">
        <f>ZZZ__FnCalls!A71</f>
        <v>42125</v>
      </c>
      <c r="BT38" s="46">
        <f>ZZZ__FnCalls!A72</f>
        <v>42156</v>
      </c>
      <c r="BU38" s="46">
        <f>ZZZ__FnCalls!A73</f>
        <v>42186</v>
      </c>
      <c r="BV38" s="46">
        <f>ZZZ__FnCalls!A74</f>
        <v>42217</v>
      </c>
      <c r="BW38" s="46">
        <f>ZZZ__FnCalls!A75</f>
        <v>42248</v>
      </c>
      <c r="BX38" s="46">
        <f>ZZZ__FnCalls!A76</f>
        <v>42278</v>
      </c>
      <c r="BY38" s="46">
        <f>ZZZ__FnCalls!A77</f>
        <v>42309</v>
      </c>
      <c r="BZ38" s="46">
        <f>ZZZ__FnCalls!A78</f>
        <v>42339</v>
      </c>
      <c r="CA38" s="47">
        <f>ZZZ__FnCalls!A67</f>
        <v>42005</v>
      </c>
      <c r="CB38" s="46">
        <f>ZZZ__FnCalls!A79</f>
        <v>42370</v>
      </c>
      <c r="CC38" s="46">
        <f>ZZZ__FnCalls!A80</f>
        <v>42401</v>
      </c>
      <c r="CD38" s="46">
        <f>ZZZ__FnCalls!A81</f>
        <v>42430</v>
      </c>
      <c r="CE38" s="46">
        <f>ZZZ__FnCalls!A82</f>
        <v>42461</v>
      </c>
      <c r="CF38" s="46">
        <f>ZZZ__FnCalls!A83</f>
        <v>42491</v>
      </c>
      <c r="CG38" s="46">
        <f>ZZZ__FnCalls!A84</f>
        <v>42522</v>
      </c>
      <c r="CH38" s="46">
        <f>ZZZ__FnCalls!A85</f>
        <v>42552</v>
      </c>
      <c r="CI38" s="46">
        <f>ZZZ__FnCalls!A86</f>
        <v>42583</v>
      </c>
      <c r="CJ38" s="46">
        <f>ZZZ__FnCalls!A87</f>
        <v>42614</v>
      </c>
      <c r="CK38" s="46">
        <f>ZZZ__FnCalls!A88</f>
        <v>42644</v>
      </c>
      <c r="CL38" s="46">
        <f>ZZZ__FnCalls!A89</f>
        <v>42675</v>
      </c>
      <c r="CM38" s="46">
        <f>ZZZ__FnCalls!A90</f>
        <v>42705</v>
      </c>
      <c r="CN38" s="47">
        <f>ZZZ__FnCalls!A79</f>
        <v>42370</v>
      </c>
      <c r="CO38" s="46">
        <f>ZZZ__FnCalls!A91</f>
        <v>42736</v>
      </c>
      <c r="CP38" s="46">
        <f>ZZZ__FnCalls!A92</f>
        <v>42767</v>
      </c>
      <c r="CQ38" s="46">
        <f>ZZZ__FnCalls!A93</f>
        <v>42795</v>
      </c>
      <c r="CR38" s="46">
        <f>ZZZ__FnCalls!A94</f>
        <v>42826</v>
      </c>
      <c r="CS38" s="46">
        <f>ZZZ__FnCalls!A95</f>
        <v>42856</v>
      </c>
      <c r="CT38" s="46">
        <f>ZZZ__FnCalls!A96</f>
        <v>42887</v>
      </c>
      <c r="CU38" s="46">
        <f>ZZZ__FnCalls!A97</f>
        <v>42917</v>
      </c>
      <c r="CV38" s="46">
        <f>ZZZ__FnCalls!A98</f>
        <v>42948</v>
      </c>
      <c r="CW38" s="46">
        <f>ZZZ__FnCalls!A99</f>
        <v>42979</v>
      </c>
      <c r="CX38" s="46">
        <f>ZZZ__FnCalls!A100</f>
        <v>43009</v>
      </c>
      <c r="CY38" s="46">
        <f>ZZZ__FnCalls!A101</f>
        <v>43040</v>
      </c>
      <c r="CZ38" s="46">
        <f>ZZZ__FnCalls!A102</f>
        <v>43070</v>
      </c>
      <c r="DA38" s="47">
        <f>ZZZ__FnCalls!A91</f>
        <v>42736</v>
      </c>
      <c r="DB38" s="46">
        <f>ZZZ__FnCalls!A103</f>
        <v>43101</v>
      </c>
      <c r="DC38" s="46">
        <f>ZZZ__FnCalls!A104</f>
        <v>43132</v>
      </c>
      <c r="DD38" s="46">
        <f>ZZZ__FnCalls!A105</f>
        <v>43160</v>
      </c>
      <c r="DE38" s="46">
        <f>ZZZ__FnCalls!A106</f>
        <v>43191</v>
      </c>
      <c r="DF38" s="46">
        <f>ZZZ__FnCalls!A107</f>
        <v>43221</v>
      </c>
      <c r="DG38" s="46">
        <f>ZZZ__FnCalls!A108</f>
        <v>43252</v>
      </c>
      <c r="DH38" s="46">
        <f>ZZZ__FnCalls!A109</f>
        <v>43282</v>
      </c>
      <c r="DI38" s="46">
        <f>ZZZ__FnCalls!A110</f>
        <v>43313</v>
      </c>
      <c r="DJ38" s="46">
        <f>ZZZ__FnCalls!A111</f>
        <v>43344</v>
      </c>
      <c r="DK38" s="46">
        <f>ZZZ__FnCalls!A112</f>
        <v>43374</v>
      </c>
      <c r="DL38" s="46">
        <f>ZZZ__FnCalls!A113</f>
        <v>43405</v>
      </c>
      <c r="DM38" s="46">
        <f>ZZZ__FnCalls!A114</f>
        <v>43435</v>
      </c>
      <c r="DN38" s="47">
        <f>ZZZ__FnCalls!A103</f>
        <v>43101</v>
      </c>
      <c r="DO38" s="46">
        <f>ZZZ__FnCalls!A115</f>
        <v>43466</v>
      </c>
      <c r="DP38" s="46">
        <f>ZZZ__FnCalls!A116</f>
        <v>43497</v>
      </c>
      <c r="DQ38" s="46">
        <f>ZZZ__FnCalls!A117</f>
        <v>43525</v>
      </c>
      <c r="DR38" s="46">
        <f>ZZZ__FnCalls!A118</f>
        <v>43556</v>
      </c>
      <c r="DS38" s="46">
        <f>ZZZ__FnCalls!A119</f>
        <v>43586</v>
      </c>
      <c r="DT38" s="46">
        <f>ZZZ__FnCalls!A120</f>
        <v>43617</v>
      </c>
      <c r="DU38" s="46">
        <f>ZZZ__FnCalls!A121</f>
        <v>43647</v>
      </c>
      <c r="DV38" s="46">
        <f>ZZZ__FnCalls!A122</f>
        <v>43678</v>
      </c>
      <c r="DW38" s="46">
        <f>ZZZ__FnCalls!A123</f>
        <v>43709</v>
      </c>
      <c r="DX38" s="46">
        <f>ZZZ__FnCalls!A124</f>
        <v>43739</v>
      </c>
      <c r="DY38" s="46">
        <f>ZZZ__FnCalls!A125</f>
        <v>43770</v>
      </c>
      <c r="DZ38" s="46">
        <f>ZZZ__FnCalls!A126</f>
        <v>43800</v>
      </c>
      <c r="EA38" s="47">
        <f>ZZZ__FnCalls!A115</f>
        <v>43466</v>
      </c>
      <c r="EB38" s="46">
        <f>ZZZ__FnCalls!A127</f>
        <v>43831</v>
      </c>
      <c r="EC38" s="46">
        <f>ZZZ__FnCalls!A128</f>
        <v>43862</v>
      </c>
      <c r="ED38" s="46">
        <f>ZZZ__FnCalls!A129</f>
        <v>43891</v>
      </c>
      <c r="EE38" s="46">
        <f>ZZZ__FnCalls!A130</f>
        <v>43922</v>
      </c>
      <c r="EF38" s="46">
        <f>ZZZ__FnCalls!A131</f>
        <v>43952</v>
      </c>
      <c r="EG38" s="46">
        <f>ZZZ__FnCalls!A132</f>
        <v>43983</v>
      </c>
      <c r="EH38" s="46">
        <f>ZZZ__FnCalls!A133</f>
        <v>44013</v>
      </c>
      <c r="EI38" s="46">
        <f>ZZZ__FnCalls!A134</f>
        <v>44044</v>
      </c>
      <c r="EJ38" s="46">
        <f>ZZZ__FnCalls!A135</f>
        <v>44075</v>
      </c>
      <c r="EK38" s="46">
        <f>ZZZ__FnCalls!A136</f>
        <v>44105</v>
      </c>
      <c r="EL38" s="46">
        <f>ZZZ__FnCalls!A137</f>
        <v>44136</v>
      </c>
      <c r="EM38" s="46">
        <f>ZZZ__FnCalls!A138</f>
        <v>44166</v>
      </c>
      <c r="EN38" s="47">
        <f>ZZZ__FnCalls!A127</f>
        <v>43831</v>
      </c>
    </row>
    <row r="39" spans="1:144" ht="12.75" customHeight="1" x14ac:dyDescent="0.2">
      <c r="A39" s="2" t="str">
        <f>"Output_2"</f>
        <v>Output_2</v>
      </c>
    </row>
    <row r="40" spans="1:144" ht="12.75" customHeight="1" x14ac:dyDescent="0.2">
      <c r="B40" s="19" t="str">
        <f>ZZZ__FnCalls!F7</f>
        <v>MMM 2010</v>
      </c>
      <c r="C40" s="20" t="str">
        <f>ZZZ__FnCalls!F8</f>
        <v>MMM 2010</v>
      </c>
      <c r="D40" s="20" t="str">
        <f>ZZZ__FnCalls!F9</f>
        <v>MMM 2010</v>
      </c>
      <c r="E40" s="20" t="str">
        <f>ZZZ__FnCalls!F10</f>
        <v>MMM 2010</v>
      </c>
      <c r="F40" s="20" t="str">
        <f>ZZZ__FnCalls!F11</f>
        <v>MMM 2010</v>
      </c>
      <c r="G40" s="20" t="str">
        <f>ZZZ__FnCalls!F12</f>
        <v>MMM 2010</v>
      </c>
      <c r="H40" s="20" t="str">
        <f>ZZZ__FnCalls!F13</f>
        <v>MMM 2010</v>
      </c>
      <c r="I40" s="20" t="str">
        <f>ZZZ__FnCalls!F14</f>
        <v>MMM 2010</v>
      </c>
      <c r="J40" s="20" t="str">
        <f>ZZZ__FnCalls!F15</f>
        <v>MMM 2010</v>
      </c>
      <c r="K40" s="20" t="str">
        <f>ZZZ__FnCalls!F16</f>
        <v>MMM 2010</v>
      </c>
      <c r="L40" s="20" t="str">
        <f>ZZZ__FnCalls!F17</f>
        <v>MMM 2010</v>
      </c>
      <c r="M40" s="20" t="str">
        <f>ZZZ__FnCalls!F18</f>
        <v>MMM 2010</v>
      </c>
      <c r="N40" s="21" t="str">
        <f>ZZZ__FnCalls!H7</f>
        <v>2010</v>
      </c>
      <c r="O40" s="20" t="str">
        <f>ZZZ__FnCalls!F19</f>
        <v>MMM 2011</v>
      </c>
      <c r="P40" s="20" t="str">
        <f>ZZZ__FnCalls!F20</f>
        <v>MMM 2011</v>
      </c>
      <c r="Q40" s="20" t="str">
        <f>ZZZ__FnCalls!F21</f>
        <v>MMM 2011</v>
      </c>
      <c r="R40" s="20" t="str">
        <f>ZZZ__FnCalls!F22</f>
        <v>MMM 2011</v>
      </c>
      <c r="S40" s="20" t="str">
        <f>ZZZ__FnCalls!F23</f>
        <v>MMM 2011</v>
      </c>
      <c r="T40" s="20" t="str">
        <f>ZZZ__FnCalls!F24</f>
        <v>MMM 2011</v>
      </c>
      <c r="U40" s="20" t="str">
        <f>ZZZ__FnCalls!F25</f>
        <v>MMM 2011</v>
      </c>
      <c r="V40" s="20" t="str">
        <f>ZZZ__FnCalls!F26</f>
        <v>MMM 2011</v>
      </c>
      <c r="W40" s="20" t="str">
        <f>ZZZ__FnCalls!F27</f>
        <v>MMM 2011</v>
      </c>
      <c r="X40" s="20" t="str">
        <f>ZZZ__FnCalls!F28</f>
        <v>MMM 2011</v>
      </c>
      <c r="Y40" s="20" t="str">
        <f>ZZZ__FnCalls!F29</f>
        <v>MMM 2011</v>
      </c>
      <c r="Z40" s="20" t="str">
        <f>ZZZ__FnCalls!F30</f>
        <v>MMM 2011</v>
      </c>
      <c r="AA40" s="21" t="str">
        <f>ZZZ__FnCalls!H19</f>
        <v>2011</v>
      </c>
      <c r="AB40" s="20" t="str">
        <f>ZZZ__FnCalls!F31</f>
        <v>MMM 2012</v>
      </c>
      <c r="AC40" s="20" t="str">
        <f>ZZZ__FnCalls!F32</f>
        <v>MMM 2012</v>
      </c>
      <c r="AD40" s="20" t="str">
        <f>ZZZ__FnCalls!F33</f>
        <v>MMM 2012</v>
      </c>
      <c r="AE40" s="20" t="str">
        <f>ZZZ__FnCalls!F34</f>
        <v>MMM 2012</v>
      </c>
      <c r="AF40" s="20" t="str">
        <f>ZZZ__FnCalls!F35</f>
        <v>MMM 2012</v>
      </c>
      <c r="AG40" s="20" t="str">
        <f>ZZZ__FnCalls!F36</f>
        <v>MMM 2012</v>
      </c>
      <c r="AH40" s="20" t="str">
        <f>ZZZ__FnCalls!F37</f>
        <v>MMM 2012</v>
      </c>
      <c r="AI40" s="20" t="str">
        <f>ZZZ__FnCalls!F38</f>
        <v>MMM 2012</v>
      </c>
      <c r="AJ40" s="20" t="str">
        <f>ZZZ__FnCalls!F39</f>
        <v>MMM 2012</v>
      </c>
      <c r="AK40" s="20" t="str">
        <f>ZZZ__FnCalls!F40</f>
        <v>MMM 2012</v>
      </c>
      <c r="AL40" s="20" t="str">
        <f>ZZZ__FnCalls!F41</f>
        <v>MMM 2012</v>
      </c>
      <c r="AM40" s="20" t="str">
        <f>ZZZ__FnCalls!F42</f>
        <v>MMM 2012</v>
      </c>
      <c r="AN40" s="21" t="str">
        <f>ZZZ__FnCalls!H31</f>
        <v>2012</v>
      </c>
      <c r="AO40" s="20" t="str">
        <f>ZZZ__FnCalls!F43</f>
        <v>MMM 2013</v>
      </c>
      <c r="AP40" s="20" t="str">
        <f>ZZZ__FnCalls!F44</f>
        <v>MMM 2013</v>
      </c>
      <c r="AQ40" s="20" t="str">
        <f>ZZZ__FnCalls!F45</f>
        <v>MMM 2013</v>
      </c>
      <c r="AR40" s="20" t="str">
        <f>ZZZ__FnCalls!F46</f>
        <v>MMM 2013</v>
      </c>
      <c r="AS40" s="20" t="str">
        <f>ZZZ__FnCalls!F47</f>
        <v>MMM 2013</v>
      </c>
      <c r="AT40" s="20" t="str">
        <f>ZZZ__FnCalls!F48</f>
        <v>MMM 2013</v>
      </c>
      <c r="AU40" s="20" t="str">
        <f>ZZZ__FnCalls!F49</f>
        <v>MMM 2013</v>
      </c>
      <c r="AV40" s="20" t="str">
        <f>ZZZ__FnCalls!F50</f>
        <v>MMM 2013</v>
      </c>
      <c r="AW40" s="20" t="str">
        <f>ZZZ__FnCalls!F51</f>
        <v>MMM 2013</v>
      </c>
      <c r="AX40" s="20" t="str">
        <f>ZZZ__FnCalls!F52</f>
        <v>MMM 2013</v>
      </c>
      <c r="AY40" s="20" t="str">
        <f>ZZZ__FnCalls!F53</f>
        <v>MMM 2013</v>
      </c>
      <c r="AZ40" s="20" t="str">
        <f>ZZZ__FnCalls!F54</f>
        <v>MMM 2013</v>
      </c>
      <c r="BA40" s="21" t="str">
        <f>ZZZ__FnCalls!H43</f>
        <v>2013</v>
      </c>
      <c r="BB40" s="20" t="str">
        <f>ZZZ__FnCalls!F55</f>
        <v>MMM 2014</v>
      </c>
      <c r="BC40" s="20" t="str">
        <f>ZZZ__FnCalls!F56</f>
        <v>MMM 2014</v>
      </c>
      <c r="BD40" s="20" t="str">
        <f>ZZZ__FnCalls!F57</f>
        <v>MMM 2014</v>
      </c>
      <c r="BE40" s="20" t="str">
        <f>ZZZ__FnCalls!F58</f>
        <v>MMM 2014</v>
      </c>
      <c r="BF40" s="20" t="str">
        <f>ZZZ__FnCalls!F59</f>
        <v>MMM 2014</v>
      </c>
      <c r="BG40" s="20" t="str">
        <f>ZZZ__FnCalls!F60</f>
        <v>MMM 2014</v>
      </c>
      <c r="BH40" s="20" t="str">
        <f>ZZZ__FnCalls!F61</f>
        <v>MMM 2014</v>
      </c>
      <c r="BI40" s="20" t="str">
        <f>ZZZ__FnCalls!F62</f>
        <v>MMM 2014</v>
      </c>
      <c r="BJ40" s="20" t="str">
        <f>ZZZ__FnCalls!F63</f>
        <v>MMM 2014</v>
      </c>
      <c r="BK40" s="20" t="str">
        <f>ZZZ__FnCalls!F64</f>
        <v>MMM 2014</v>
      </c>
      <c r="BL40" s="20" t="str">
        <f>ZZZ__FnCalls!F65</f>
        <v>MMM 2014</v>
      </c>
      <c r="BM40" s="20" t="str">
        <f>ZZZ__FnCalls!F66</f>
        <v>MMM 2014</v>
      </c>
      <c r="BN40" s="21" t="str">
        <f>ZZZ__FnCalls!H55</f>
        <v>2014</v>
      </c>
      <c r="BO40" s="20" t="str">
        <f>ZZZ__FnCalls!F67</f>
        <v>MMM 2015</v>
      </c>
      <c r="BP40" s="20" t="str">
        <f>ZZZ__FnCalls!F68</f>
        <v>MMM 2015</v>
      </c>
      <c r="BQ40" s="20" t="str">
        <f>ZZZ__FnCalls!F69</f>
        <v>MMM 2015</v>
      </c>
      <c r="BR40" s="20" t="str">
        <f>ZZZ__FnCalls!F70</f>
        <v>MMM 2015</v>
      </c>
      <c r="BS40" s="20" t="str">
        <f>ZZZ__FnCalls!F71</f>
        <v>MMM 2015</v>
      </c>
      <c r="BT40" s="20" t="str">
        <f>ZZZ__FnCalls!F72</f>
        <v>MMM 2015</v>
      </c>
      <c r="BU40" s="20" t="str">
        <f>ZZZ__FnCalls!F73</f>
        <v>MMM 2015</v>
      </c>
      <c r="BV40" s="20" t="str">
        <f>ZZZ__FnCalls!F74</f>
        <v>MMM 2015</v>
      </c>
      <c r="BW40" s="20" t="str">
        <f>ZZZ__FnCalls!F75</f>
        <v>MMM 2015</v>
      </c>
      <c r="BX40" s="20" t="str">
        <f>ZZZ__FnCalls!F76</f>
        <v>MMM 2015</v>
      </c>
      <c r="BY40" s="20" t="str">
        <f>ZZZ__FnCalls!F77</f>
        <v>MMM 2015</v>
      </c>
      <c r="BZ40" s="20" t="str">
        <f>ZZZ__FnCalls!F78</f>
        <v>MMM 2015</v>
      </c>
      <c r="CA40" s="21" t="str">
        <f>ZZZ__FnCalls!H67</f>
        <v>2015</v>
      </c>
      <c r="CB40" s="20" t="str">
        <f>ZZZ__FnCalls!F79</f>
        <v>MMM 2016</v>
      </c>
      <c r="CC40" s="20" t="str">
        <f>ZZZ__FnCalls!F80</f>
        <v>MMM 2016</v>
      </c>
      <c r="CD40" s="20" t="str">
        <f>ZZZ__FnCalls!F81</f>
        <v>MMM 2016</v>
      </c>
      <c r="CE40" s="20" t="str">
        <f>ZZZ__FnCalls!F82</f>
        <v>MMM 2016</v>
      </c>
      <c r="CF40" s="20" t="str">
        <f>ZZZ__FnCalls!F83</f>
        <v>MMM 2016</v>
      </c>
      <c r="CG40" s="20" t="str">
        <f>ZZZ__FnCalls!F84</f>
        <v>MMM 2016</v>
      </c>
      <c r="CH40" s="20" t="str">
        <f>ZZZ__FnCalls!F85</f>
        <v>MMM 2016</v>
      </c>
      <c r="CI40" s="20" t="str">
        <f>ZZZ__FnCalls!F86</f>
        <v>MMM 2016</v>
      </c>
      <c r="CJ40" s="20" t="str">
        <f>ZZZ__FnCalls!F87</f>
        <v>MMM 2016</v>
      </c>
      <c r="CK40" s="20" t="str">
        <f>ZZZ__FnCalls!F88</f>
        <v>MMM 2016</v>
      </c>
      <c r="CL40" s="20" t="str">
        <f>ZZZ__FnCalls!F89</f>
        <v>MMM 2016</v>
      </c>
      <c r="CM40" s="20" t="str">
        <f>ZZZ__FnCalls!F90</f>
        <v>MMM 2016</v>
      </c>
      <c r="CN40" s="21" t="str">
        <f>ZZZ__FnCalls!H79</f>
        <v>2016</v>
      </c>
      <c r="CO40" s="20" t="str">
        <f>ZZZ__FnCalls!F91</f>
        <v>MMM 2017</v>
      </c>
      <c r="CP40" s="20" t="str">
        <f>ZZZ__FnCalls!F92</f>
        <v>MMM 2017</v>
      </c>
      <c r="CQ40" s="20" t="str">
        <f>ZZZ__FnCalls!F93</f>
        <v>MMM 2017</v>
      </c>
      <c r="CR40" s="20" t="str">
        <f>ZZZ__FnCalls!F94</f>
        <v>MMM 2017</v>
      </c>
      <c r="CS40" s="20" t="str">
        <f>ZZZ__FnCalls!F95</f>
        <v>MMM 2017</v>
      </c>
      <c r="CT40" s="20" t="str">
        <f>ZZZ__FnCalls!F96</f>
        <v>MMM 2017</v>
      </c>
      <c r="CU40" s="20" t="str">
        <f>ZZZ__FnCalls!F97</f>
        <v>MMM 2017</v>
      </c>
      <c r="CV40" s="20" t="str">
        <f>ZZZ__FnCalls!F98</f>
        <v>MMM 2017</v>
      </c>
      <c r="CW40" s="20" t="str">
        <f>ZZZ__FnCalls!F99</f>
        <v>MMM 2017</v>
      </c>
      <c r="CX40" s="20" t="str">
        <f>ZZZ__FnCalls!F100</f>
        <v>MMM 2017</v>
      </c>
      <c r="CY40" s="20" t="str">
        <f>ZZZ__FnCalls!F101</f>
        <v>MMM 2017</v>
      </c>
      <c r="CZ40" s="20" t="str">
        <f>ZZZ__FnCalls!F102</f>
        <v>MMM 2017</v>
      </c>
      <c r="DA40" s="21" t="str">
        <f>ZZZ__FnCalls!H91</f>
        <v>2017</v>
      </c>
      <c r="DB40" s="20" t="str">
        <f>ZZZ__FnCalls!F103</f>
        <v>MMM 2018</v>
      </c>
      <c r="DC40" s="20" t="str">
        <f>ZZZ__FnCalls!F104</f>
        <v>MMM 2018</v>
      </c>
      <c r="DD40" s="20" t="str">
        <f>ZZZ__FnCalls!F105</f>
        <v>MMM 2018</v>
      </c>
      <c r="DE40" s="20" t="str">
        <f>ZZZ__FnCalls!F106</f>
        <v>MMM 2018</v>
      </c>
      <c r="DF40" s="20" t="str">
        <f>ZZZ__FnCalls!F107</f>
        <v>MMM 2018</v>
      </c>
      <c r="DG40" s="20" t="str">
        <f>ZZZ__FnCalls!F108</f>
        <v>MMM 2018</v>
      </c>
      <c r="DH40" s="20" t="str">
        <f>ZZZ__FnCalls!F109</f>
        <v>MMM 2018</v>
      </c>
      <c r="DI40" s="20" t="str">
        <f>ZZZ__FnCalls!F110</f>
        <v>MMM 2018</v>
      </c>
      <c r="DJ40" s="20" t="str">
        <f>ZZZ__FnCalls!F111</f>
        <v>MMM 2018</v>
      </c>
      <c r="DK40" s="20" t="str">
        <f>ZZZ__FnCalls!F112</f>
        <v>MMM 2018</v>
      </c>
      <c r="DL40" s="20" t="str">
        <f>ZZZ__FnCalls!F113</f>
        <v>MMM 2018</v>
      </c>
      <c r="DM40" s="20" t="str">
        <f>ZZZ__FnCalls!F114</f>
        <v>MMM 2018</v>
      </c>
      <c r="DN40" s="21" t="str">
        <f>ZZZ__FnCalls!H103</f>
        <v>2018</v>
      </c>
      <c r="DO40" s="20" t="str">
        <f>ZZZ__FnCalls!F115</f>
        <v>MMM 2019</v>
      </c>
      <c r="DP40" s="20" t="str">
        <f>ZZZ__FnCalls!F116</f>
        <v>MMM 2019</v>
      </c>
      <c r="DQ40" s="20" t="str">
        <f>ZZZ__FnCalls!F117</f>
        <v>MMM 2019</v>
      </c>
      <c r="DR40" s="20" t="str">
        <f>ZZZ__FnCalls!F118</f>
        <v>MMM 2019</v>
      </c>
      <c r="DS40" s="20" t="str">
        <f>ZZZ__FnCalls!F119</f>
        <v>MMM 2019</v>
      </c>
      <c r="DT40" s="20" t="str">
        <f>ZZZ__FnCalls!F120</f>
        <v>MMM 2019</v>
      </c>
      <c r="DU40" s="20" t="str">
        <f>ZZZ__FnCalls!F121</f>
        <v>MMM 2019</v>
      </c>
      <c r="DV40" s="20" t="str">
        <f>ZZZ__FnCalls!F122</f>
        <v>MMM 2019</v>
      </c>
      <c r="DW40" s="20" t="str">
        <f>ZZZ__FnCalls!F123</f>
        <v>MMM 2019</v>
      </c>
      <c r="DX40" s="20" t="str">
        <f>ZZZ__FnCalls!F124</f>
        <v>MMM 2019</v>
      </c>
      <c r="DY40" s="20" t="str">
        <f>ZZZ__FnCalls!F125</f>
        <v>MMM 2019</v>
      </c>
      <c r="DZ40" s="20" t="str">
        <f>ZZZ__FnCalls!F126</f>
        <v>MMM 2019</v>
      </c>
      <c r="EA40" s="21" t="str">
        <f>ZZZ__FnCalls!H115</f>
        <v>2019</v>
      </c>
      <c r="EB40" s="20" t="str">
        <f>ZZZ__FnCalls!F127</f>
        <v>MMM 2020</v>
      </c>
      <c r="EC40" s="20" t="str">
        <f>ZZZ__FnCalls!F128</f>
        <v>MMM 2020</v>
      </c>
      <c r="ED40" s="20" t="str">
        <f>ZZZ__FnCalls!F129</f>
        <v>MMM 2020</v>
      </c>
      <c r="EE40" s="20" t="str">
        <f>ZZZ__FnCalls!F130</f>
        <v>MMM 2020</v>
      </c>
      <c r="EF40" s="20" t="str">
        <f>ZZZ__FnCalls!F131</f>
        <v>MMM 2020</v>
      </c>
      <c r="EG40" s="20" t="str">
        <f>ZZZ__FnCalls!F132</f>
        <v>MMM 2020</v>
      </c>
      <c r="EH40" s="20" t="str">
        <f>ZZZ__FnCalls!F133</f>
        <v>MMM 2020</v>
      </c>
      <c r="EI40" s="20" t="str">
        <f>ZZZ__FnCalls!F134</f>
        <v>MMM 2020</v>
      </c>
      <c r="EJ40" s="20" t="str">
        <f>ZZZ__FnCalls!F135</f>
        <v>MMM 2020</v>
      </c>
      <c r="EK40" s="20" t="str">
        <f>ZZZ__FnCalls!F136</f>
        <v>MMM 2020</v>
      </c>
      <c r="EL40" s="20" t="str">
        <f>ZZZ__FnCalls!F137</f>
        <v>MMM 2020</v>
      </c>
      <c r="EM40" s="20" t="str">
        <f>ZZZ__FnCalls!F138</f>
        <v>MMM 2020</v>
      </c>
      <c r="EN40" s="21" t="str">
        <f>ZZZ__FnCalls!H127</f>
        <v>2020</v>
      </c>
    </row>
    <row r="41" spans="1:144" ht="12.75" customHeight="1" x14ac:dyDescent="0.2">
      <c r="A41" s="5"/>
      <c r="B41" s="46" t="str">
        <f>ZZZ__FnCalls!F7</f>
        <v>MMM 2010</v>
      </c>
      <c r="C41" s="46" t="str">
        <f>ZZZ__FnCalls!F8</f>
        <v>MMM 2010</v>
      </c>
      <c r="D41" s="46" t="str">
        <f>ZZZ__FnCalls!F9</f>
        <v>MMM 2010</v>
      </c>
      <c r="E41" s="46" t="str">
        <f>ZZZ__FnCalls!F10</f>
        <v>MMM 2010</v>
      </c>
      <c r="F41" s="46" t="str">
        <f>ZZZ__FnCalls!F11</f>
        <v>MMM 2010</v>
      </c>
      <c r="G41" s="46" t="str">
        <f>ZZZ__FnCalls!F12</f>
        <v>MMM 2010</v>
      </c>
      <c r="H41" s="46" t="str">
        <f>ZZZ__FnCalls!F13</f>
        <v>MMM 2010</v>
      </c>
      <c r="I41" s="46" t="str">
        <f>ZZZ__FnCalls!F14</f>
        <v>MMM 2010</v>
      </c>
      <c r="J41" s="46" t="str">
        <f>ZZZ__FnCalls!F15</f>
        <v>MMM 2010</v>
      </c>
      <c r="K41" s="46" t="str">
        <f>ZZZ__FnCalls!F16</f>
        <v>MMM 2010</v>
      </c>
      <c r="L41" s="46" t="str">
        <f>ZZZ__FnCalls!F17</f>
        <v>MMM 2010</v>
      </c>
      <c r="M41" s="46" t="str">
        <f>ZZZ__FnCalls!F18</f>
        <v>MMM 2010</v>
      </c>
      <c r="N41" s="47" t="str">
        <f>ZZZ__FnCalls!F7</f>
        <v>MMM 2010</v>
      </c>
      <c r="O41" s="46" t="str">
        <f>ZZZ__FnCalls!F19</f>
        <v>MMM 2011</v>
      </c>
      <c r="P41" s="46" t="str">
        <f>ZZZ__FnCalls!F20</f>
        <v>MMM 2011</v>
      </c>
      <c r="Q41" s="46" t="str">
        <f>ZZZ__FnCalls!F21</f>
        <v>MMM 2011</v>
      </c>
      <c r="R41" s="46" t="str">
        <f>ZZZ__FnCalls!F22</f>
        <v>MMM 2011</v>
      </c>
      <c r="S41" s="46" t="str">
        <f>ZZZ__FnCalls!F23</f>
        <v>MMM 2011</v>
      </c>
      <c r="T41" s="46" t="str">
        <f>ZZZ__FnCalls!F24</f>
        <v>MMM 2011</v>
      </c>
      <c r="U41" s="46" t="str">
        <f>ZZZ__FnCalls!F25</f>
        <v>MMM 2011</v>
      </c>
      <c r="V41" s="46" t="str">
        <f>ZZZ__FnCalls!F26</f>
        <v>MMM 2011</v>
      </c>
      <c r="W41" s="46" t="str">
        <f>ZZZ__FnCalls!F27</f>
        <v>MMM 2011</v>
      </c>
      <c r="X41" s="46" t="str">
        <f>ZZZ__FnCalls!F28</f>
        <v>MMM 2011</v>
      </c>
      <c r="Y41" s="46" t="str">
        <f>ZZZ__FnCalls!F29</f>
        <v>MMM 2011</v>
      </c>
      <c r="Z41" s="46" t="str">
        <f>ZZZ__FnCalls!F30</f>
        <v>MMM 2011</v>
      </c>
      <c r="AA41" s="47" t="str">
        <f>ZZZ__FnCalls!F19</f>
        <v>MMM 2011</v>
      </c>
      <c r="AB41" s="46" t="str">
        <f>ZZZ__FnCalls!F31</f>
        <v>MMM 2012</v>
      </c>
      <c r="AC41" s="46" t="str">
        <f>ZZZ__FnCalls!F32</f>
        <v>MMM 2012</v>
      </c>
      <c r="AD41" s="46" t="str">
        <f>ZZZ__FnCalls!F33</f>
        <v>MMM 2012</v>
      </c>
      <c r="AE41" s="46" t="str">
        <f>ZZZ__FnCalls!F34</f>
        <v>MMM 2012</v>
      </c>
      <c r="AF41" s="46" t="str">
        <f>ZZZ__FnCalls!F35</f>
        <v>MMM 2012</v>
      </c>
      <c r="AG41" s="46" t="str">
        <f>ZZZ__FnCalls!F36</f>
        <v>MMM 2012</v>
      </c>
      <c r="AH41" s="46" t="str">
        <f>ZZZ__FnCalls!F37</f>
        <v>MMM 2012</v>
      </c>
      <c r="AI41" s="46" t="str">
        <f>ZZZ__FnCalls!F38</f>
        <v>MMM 2012</v>
      </c>
      <c r="AJ41" s="46" t="str">
        <f>ZZZ__FnCalls!F39</f>
        <v>MMM 2012</v>
      </c>
      <c r="AK41" s="46" t="str">
        <f>ZZZ__FnCalls!F40</f>
        <v>MMM 2012</v>
      </c>
      <c r="AL41" s="46" t="str">
        <f>ZZZ__FnCalls!F41</f>
        <v>MMM 2012</v>
      </c>
      <c r="AM41" s="46" t="str">
        <f>ZZZ__FnCalls!F42</f>
        <v>MMM 2012</v>
      </c>
      <c r="AN41" s="47" t="str">
        <f>ZZZ__FnCalls!F31</f>
        <v>MMM 2012</v>
      </c>
      <c r="AO41" s="46" t="str">
        <f>ZZZ__FnCalls!F43</f>
        <v>MMM 2013</v>
      </c>
      <c r="AP41" s="46" t="str">
        <f>ZZZ__FnCalls!F44</f>
        <v>MMM 2013</v>
      </c>
      <c r="AQ41" s="46" t="str">
        <f>ZZZ__FnCalls!F45</f>
        <v>MMM 2013</v>
      </c>
      <c r="AR41" s="46" t="str">
        <f>ZZZ__FnCalls!F46</f>
        <v>MMM 2013</v>
      </c>
      <c r="AS41" s="46" t="str">
        <f>ZZZ__FnCalls!F47</f>
        <v>MMM 2013</v>
      </c>
      <c r="AT41" s="46" t="str">
        <f>ZZZ__FnCalls!F48</f>
        <v>MMM 2013</v>
      </c>
      <c r="AU41" s="46" t="str">
        <f>ZZZ__FnCalls!F49</f>
        <v>MMM 2013</v>
      </c>
      <c r="AV41" s="46" t="str">
        <f>ZZZ__FnCalls!F50</f>
        <v>MMM 2013</v>
      </c>
      <c r="AW41" s="46" t="str">
        <f>ZZZ__FnCalls!F51</f>
        <v>MMM 2013</v>
      </c>
      <c r="AX41" s="46" t="str">
        <f>ZZZ__FnCalls!F52</f>
        <v>MMM 2013</v>
      </c>
      <c r="AY41" s="46" t="str">
        <f>ZZZ__FnCalls!F53</f>
        <v>MMM 2013</v>
      </c>
      <c r="AZ41" s="46" t="str">
        <f>ZZZ__FnCalls!F54</f>
        <v>MMM 2013</v>
      </c>
      <c r="BA41" s="47" t="str">
        <f>ZZZ__FnCalls!F43</f>
        <v>MMM 2013</v>
      </c>
      <c r="BB41" s="46" t="str">
        <f>ZZZ__FnCalls!F55</f>
        <v>MMM 2014</v>
      </c>
      <c r="BC41" s="46" t="str">
        <f>ZZZ__FnCalls!F56</f>
        <v>MMM 2014</v>
      </c>
      <c r="BD41" s="46" t="str">
        <f>ZZZ__FnCalls!F57</f>
        <v>MMM 2014</v>
      </c>
      <c r="BE41" s="46" t="str">
        <f>ZZZ__FnCalls!F58</f>
        <v>MMM 2014</v>
      </c>
      <c r="BF41" s="46" t="str">
        <f>ZZZ__FnCalls!F59</f>
        <v>MMM 2014</v>
      </c>
      <c r="BG41" s="46" t="str">
        <f>ZZZ__FnCalls!F60</f>
        <v>MMM 2014</v>
      </c>
      <c r="BH41" s="46" t="str">
        <f>ZZZ__FnCalls!F61</f>
        <v>MMM 2014</v>
      </c>
      <c r="BI41" s="46" t="str">
        <f>ZZZ__FnCalls!F62</f>
        <v>MMM 2014</v>
      </c>
      <c r="BJ41" s="46" t="str">
        <f>ZZZ__FnCalls!F63</f>
        <v>MMM 2014</v>
      </c>
      <c r="BK41" s="46" t="str">
        <f>ZZZ__FnCalls!F64</f>
        <v>MMM 2014</v>
      </c>
      <c r="BL41" s="46" t="str">
        <f>ZZZ__FnCalls!F65</f>
        <v>MMM 2014</v>
      </c>
      <c r="BM41" s="46" t="str">
        <f>ZZZ__FnCalls!F66</f>
        <v>MMM 2014</v>
      </c>
      <c r="BN41" s="47" t="str">
        <f>ZZZ__FnCalls!F55</f>
        <v>MMM 2014</v>
      </c>
      <c r="BO41" s="46" t="str">
        <f>ZZZ__FnCalls!F67</f>
        <v>MMM 2015</v>
      </c>
      <c r="BP41" s="46" t="str">
        <f>ZZZ__FnCalls!F68</f>
        <v>MMM 2015</v>
      </c>
      <c r="BQ41" s="46" t="str">
        <f>ZZZ__FnCalls!F69</f>
        <v>MMM 2015</v>
      </c>
      <c r="BR41" s="46" t="str">
        <f>ZZZ__FnCalls!F70</f>
        <v>MMM 2015</v>
      </c>
      <c r="BS41" s="46" t="str">
        <f>ZZZ__FnCalls!F71</f>
        <v>MMM 2015</v>
      </c>
      <c r="BT41" s="46" t="str">
        <f>ZZZ__FnCalls!F72</f>
        <v>MMM 2015</v>
      </c>
      <c r="BU41" s="46" t="str">
        <f>ZZZ__FnCalls!F73</f>
        <v>MMM 2015</v>
      </c>
      <c r="BV41" s="46" t="str">
        <f>ZZZ__FnCalls!F74</f>
        <v>MMM 2015</v>
      </c>
      <c r="BW41" s="46" t="str">
        <f>ZZZ__FnCalls!F75</f>
        <v>MMM 2015</v>
      </c>
      <c r="BX41" s="46" t="str">
        <f>ZZZ__FnCalls!F76</f>
        <v>MMM 2015</v>
      </c>
      <c r="BY41" s="46" t="str">
        <f>ZZZ__FnCalls!F77</f>
        <v>MMM 2015</v>
      </c>
      <c r="BZ41" s="46" t="str">
        <f>ZZZ__FnCalls!F78</f>
        <v>MMM 2015</v>
      </c>
      <c r="CA41" s="47" t="str">
        <f>ZZZ__FnCalls!F67</f>
        <v>MMM 2015</v>
      </c>
      <c r="CB41" s="46" t="str">
        <f>ZZZ__FnCalls!F79</f>
        <v>MMM 2016</v>
      </c>
      <c r="CC41" s="46" t="str">
        <f>ZZZ__FnCalls!F80</f>
        <v>MMM 2016</v>
      </c>
      <c r="CD41" s="46" t="str">
        <f>ZZZ__FnCalls!F81</f>
        <v>MMM 2016</v>
      </c>
      <c r="CE41" s="46" t="str">
        <f>ZZZ__FnCalls!F82</f>
        <v>MMM 2016</v>
      </c>
      <c r="CF41" s="46" t="str">
        <f>ZZZ__FnCalls!F83</f>
        <v>MMM 2016</v>
      </c>
      <c r="CG41" s="46" t="str">
        <f>ZZZ__FnCalls!F84</f>
        <v>MMM 2016</v>
      </c>
      <c r="CH41" s="46" t="str">
        <f>ZZZ__FnCalls!F85</f>
        <v>MMM 2016</v>
      </c>
      <c r="CI41" s="46" t="str">
        <f>ZZZ__FnCalls!F86</f>
        <v>MMM 2016</v>
      </c>
      <c r="CJ41" s="46" t="str">
        <f>ZZZ__FnCalls!F87</f>
        <v>MMM 2016</v>
      </c>
      <c r="CK41" s="46" t="str">
        <f>ZZZ__FnCalls!F88</f>
        <v>MMM 2016</v>
      </c>
      <c r="CL41" s="46" t="str">
        <f>ZZZ__FnCalls!F89</f>
        <v>MMM 2016</v>
      </c>
      <c r="CM41" s="46" t="str">
        <f>ZZZ__FnCalls!F90</f>
        <v>MMM 2016</v>
      </c>
      <c r="CN41" s="47" t="str">
        <f>ZZZ__FnCalls!F79</f>
        <v>MMM 2016</v>
      </c>
      <c r="CO41" s="46" t="str">
        <f>ZZZ__FnCalls!F91</f>
        <v>MMM 2017</v>
      </c>
      <c r="CP41" s="46" t="str">
        <f>ZZZ__FnCalls!F92</f>
        <v>MMM 2017</v>
      </c>
      <c r="CQ41" s="46" t="str">
        <f>ZZZ__FnCalls!F93</f>
        <v>MMM 2017</v>
      </c>
      <c r="CR41" s="46" t="str">
        <f>ZZZ__FnCalls!F94</f>
        <v>MMM 2017</v>
      </c>
      <c r="CS41" s="46" t="str">
        <f>ZZZ__FnCalls!F95</f>
        <v>MMM 2017</v>
      </c>
      <c r="CT41" s="46" t="str">
        <f>ZZZ__FnCalls!F96</f>
        <v>MMM 2017</v>
      </c>
      <c r="CU41" s="46" t="str">
        <f>ZZZ__FnCalls!F97</f>
        <v>MMM 2017</v>
      </c>
      <c r="CV41" s="46" t="str">
        <f>ZZZ__FnCalls!F98</f>
        <v>MMM 2017</v>
      </c>
      <c r="CW41" s="46" t="str">
        <f>ZZZ__FnCalls!F99</f>
        <v>MMM 2017</v>
      </c>
      <c r="CX41" s="46" t="str">
        <f>ZZZ__FnCalls!F100</f>
        <v>MMM 2017</v>
      </c>
      <c r="CY41" s="46" t="str">
        <f>ZZZ__FnCalls!F101</f>
        <v>MMM 2017</v>
      </c>
      <c r="CZ41" s="46" t="str">
        <f>ZZZ__FnCalls!F102</f>
        <v>MMM 2017</v>
      </c>
      <c r="DA41" s="47" t="str">
        <f>ZZZ__FnCalls!F91</f>
        <v>MMM 2017</v>
      </c>
      <c r="DB41" s="46" t="str">
        <f>ZZZ__FnCalls!F103</f>
        <v>MMM 2018</v>
      </c>
      <c r="DC41" s="46" t="str">
        <f>ZZZ__FnCalls!F104</f>
        <v>MMM 2018</v>
      </c>
      <c r="DD41" s="46" t="str">
        <f>ZZZ__FnCalls!F105</f>
        <v>MMM 2018</v>
      </c>
      <c r="DE41" s="46" t="str">
        <f>ZZZ__FnCalls!F106</f>
        <v>MMM 2018</v>
      </c>
      <c r="DF41" s="46" t="str">
        <f>ZZZ__FnCalls!F107</f>
        <v>MMM 2018</v>
      </c>
      <c r="DG41" s="46" t="str">
        <f>ZZZ__FnCalls!F108</f>
        <v>MMM 2018</v>
      </c>
      <c r="DH41" s="46" t="str">
        <f>ZZZ__FnCalls!F109</f>
        <v>MMM 2018</v>
      </c>
      <c r="DI41" s="46" t="str">
        <f>ZZZ__FnCalls!F110</f>
        <v>MMM 2018</v>
      </c>
      <c r="DJ41" s="46" t="str">
        <f>ZZZ__FnCalls!F111</f>
        <v>MMM 2018</v>
      </c>
      <c r="DK41" s="46" t="str">
        <f>ZZZ__FnCalls!F112</f>
        <v>MMM 2018</v>
      </c>
      <c r="DL41" s="46" t="str">
        <f>ZZZ__FnCalls!F113</f>
        <v>MMM 2018</v>
      </c>
      <c r="DM41" s="46" t="str">
        <f>ZZZ__FnCalls!F114</f>
        <v>MMM 2018</v>
      </c>
      <c r="DN41" s="47" t="str">
        <f>ZZZ__FnCalls!F103</f>
        <v>MMM 2018</v>
      </c>
      <c r="DO41" s="46" t="str">
        <f>ZZZ__FnCalls!F115</f>
        <v>MMM 2019</v>
      </c>
      <c r="DP41" s="46" t="str">
        <f>ZZZ__FnCalls!F116</f>
        <v>MMM 2019</v>
      </c>
      <c r="DQ41" s="46" t="str">
        <f>ZZZ__FnCalls!F117</f>
        <v>MMM 2019</v>
      </c>
      <c r="DR41" s="46" t="str">
        <f>ZZZ__FnCalls!F118</f>
        <v>MMM 2019</v>
      </c>
      <c r="DS41" s="46" t="str">
        <f>ZZZ__FnCalls!F119</f>
        <v>MMM 2019</v>
      </c>
      <c r="DT41" s="46" t="str">
        <f>ZZZ__FnCalls!F120</f>
        <v>MMM 2019</v>
      </c>
      <c r="DU41" s="46" t="str">
        <f>ZZZ__FnCalls!F121</f>
        <v>MMM 2019</v>
      </c>
      <c r="DV41" s="46" t="str">
        <f>ZZZ__FnCalls!F122</f>
        <v>MMM 2019</v>
      </c>
      <c r="DW41" s="46" t="str">
        <f>ZZZ__FnCalls!F123</f>
        <v>MMM 2019</v>
      </c>
      <c r="DX41" s="46" t="str">
        <f>ZZZ__FnCalls!F124</f>
        <v>MMM 2019</v>
      </c>
      <c r="DY41" s="46" t="str">
        <f>ZZZ__FnCalls!F125</f>
        <v>MMM 2019</v>
      </c>
      <c r="DZ41" s="46" t="str">
        <f>ZZZ__FnCalls!F126</f>
        <v>MMM 2019</v>
      </c>
      <c r="EA41" s="47" t="str">
        <f>ZZZ__FnCalls!F115</f>
        <v>MMM 2019</v>
      </c>
      <c r="EB41" s="46" t="str">
        <f>ZZZ__FnCalls!F127</f>
        <v>MMM 2020</v>
      </c>
      <c r="EC41" s="46" t="str">
        <f>ZZZ__FnCalls!F128</f>
        <v>MMM 2020</v>
      </c>
      <c r="ED41" s="46" t="str">
        <f>ZZZ__FnCalls!F129</f>
        <v>MMM 2020</v>
      </c>
      <c r="EE41" s="46" t="str">
        <f>ZZZ__FnCalls!F130</f>
        <v>MMM 2020</v>
      </c>
      <c r="EF41" s="46" t="str">
        <f>ZZZ__FnCalls!F131</f>
        <v>MMM 2020</v>
      </c>
      <c r="EG41" s="46" t="str">
        <f>ZZZ__FnCalls!F132</f>
        <v>MMM 2020</v>
      </c>
      <c r="EH41" s="46" t="str">
        <f>ZZZ__FnCalls!F133</f>
        <v>MMM 2020</v>
      </c>
      <c r="EI41" s="46" t="str">
        <f>ZZZ__FnCalls!F134</f>
        <v>MMM 2020</v>
      </c>
      <c r="EJ41" s="46" t="str">
        <f>ZZZ__FnCalls!F135</f>
        <v>MMM 2020</v>
      </c>
      <c r="EK41" s="46" t="str">
        <f>ZZZ__FnCalls!F136</f>
        <v>MMM 2020</v>
      </c>
      <c r="EL41" s="46" t="str">
        <f>ZZZ__FnCalls!F137</f>
        <v>MMM 2020</v>
      </c>
      <c r="EM41" s="46" t="str">
        <f>ZZZ__FnCalls!F138</f>
        <v>MMM 2020</v>
      </c>
      <c r="EN41" s="47" t="str">
        <f>ZZZ__FnCalls!F127</f>
        <v>MMM 2020</v>
      </c>
    </row>
    <row r="42" spans="1:144" ht="12.75" customHeight="1" x14ac:dyDescent="0.2">
      <c r="A42" s="2" t="str">
        <f>"Output_Potential_1"</f>
        <v>Output_Potential_1</v>
      </c>
    </row>
    <row r="43" spans="1:144" ht="12.75" customHeight="1" x14ac:dyDescent="0.2">
      <c r="B43" s="19" t="str">
        <f>ZZZ__FnCalls!F7</f>
        <v>MMM 2010</v>
      </c>
      <c r="C43" s="20" t="str">
        <f>ZZZ__FnCalls!F8</f>
        <v>MMM 2010</v>
      </c>
      <c r="D43" s="20" t="str">
        <f>ZZZ__FnCalls!F9</f>
        <v>MMM 2010</v>
      </c>
      <c r="E43" s="20" t="str">
        <f>ZZZ__FnCalls!F10</f>
        <v>MMM 2010</v>
      </c>
      <c r="F43" s="20" t="str">
        <f>ZZZ__FnCalls!F11</f>
        <v>MMM 2010</v>
      </c>
      <c r="G43" s="20" t="str">
        <f>ZZZ__FnCalls!F12</f>
        <v>MMM 2010</v>
      </c>
      <c r="H43" s="20" t="str">
        <f>ZZZ__FnCalls!F13</f>
        <v>MMM 2010</v>
      </c>
      <c r="I43" s="20" t="str">
        <f>ZZZ__FnCalls!F14</f>
        <v>MMM 2010</v>
      </c>
      <c r="J43" s="20" t="str">
        <f>ZZZ__FnCalls!F15</f>
        <v>MMM 2010</v>
      </c>
      <c r="K43" s="20" t="str">
        <f>ZZZ__FnCalls!F16</f>
        <v>MMM 2010</v>
      </c>
      <c r="L43" s="20" t="str">
        <f>ZZZ__FnCalls!F17</f>
        <v>MMM 2010</v>
      </c>
      <c r="M43" s="20" t="str">
        <f>ZZZ__FnCalls!F18</f>
        <v>MMM 2010</v>
      </c>
      <c r="N43" s="21" t="str">
        <f>ZZZ__FnCalls!H7</f>
        <v>2010</v>
      </c>
      <c r="O43" s="20" t="str">
        <f>ZZZ__FnCalls!F19</f>
        <v>MMM 2011</v>
      </c>
      <c r="P43" s="20" t="str">
        <f>ZZZ__FnCalls!F20</f>
        <v>MMM 2011</v>
      </c>
      <c r="Q43" s="20" t="str">
        <f>ZZZ__FnCalls!F21</f>
        <v>MMM 2011</v>
      </c>
      <c r="R43" s="20" t="str">
        <f>ZZZ__FnCalls!F22</f>
        <v>MMM 2011</v>
      </c>
      <c r="S43" s="20" t="str">
        <f>ZZZ__FnCalls!F23</f>
        <v>MMM 2011</v>
      </c>
      <c r="T43" s="20" t="str">
        <f>ZZZ__FnCalls!F24</f>
        <v>MMM 2011</v>
      </c>
      <c r="U43" s="20" t="str">
        <f>ZZZ__FnCalls!F25</f>
        <v>MMM 2011</v>
      </c>
      <c r="V43" s="20" t="str">
        <f>ZZZ__FnCalls!F26</f>
        <v>MMM 2011</v>
      </c>
      <c r="W43" s="20" t="str">
        <f>ZZZ__FnCalls!F27</f>
        <v>MMM 2011</v>
      </c>
      <c r="X43" s="20" t="str">
        <f>ZZZ__FnCalls!F28</f>
        <v>MMM 2011</v>
      </c>
      <c r="Y43" s="20" t="str">
        <f>ZZZ__FnCalls!F29</f>
        <v>MMM 2011</v>
      </c>
      <c r="Z43" s="20" t="str">
        <f>ZZZ__FnCalls!F30</f>
        <v>MMM 2011</v>
      </c>
      <c r="AA43" s="21" t="str">
        <f>ZZZ__FnCalls!H19</f>
        <v>2011</v>
      </c>
      <c r="AB43" s="20" t="str">
        <f>ZZZ__FnCalls!F31</f>
        <v>MMM 2012</v>
      </c>
      <c r="AC43" s="20" t="str">
        <f>ZZZ__FnCalls!F32</f>
        <v>MMM 2012</v>
      </c>
      <c r="AD43" s="20" t="str">
        <f>ZZZ__FnCalls!F33</f>
        <v>MMM 2012</v>
      </c>
      <c r="AE43" s="20" t="str">
        <f>ZZZ__FnCalls!F34</f>
        <v>MMM 2012</v>
      </c>
      <c r="AF43" s="20" t="str">
        <f>ZZZ__FnCalls!F35</f>
        <v>MMM 2012</v>
      </c>
      <c r="AG43" s="20" t="str">
        <f>ZZZ__FnCalls!F36</f>
        <v>MMM 2012</v>
      </c>
      <c r="AH43" s="20" t="str">
        <f>ZZZ__FnCalls!F37</f>
        <v>MMM 2012</v>
      </c>
      <c r="AI43" s="20" t="str">
        <f>ZZZ__FnCalls!F38</f>
        <v>MMM 2012</v>
      </c>
      <c r="AJ43" s="20" t="str">
        <f>ZZZ__FnCalls!F39</f>
        <v>MMM 2012</v>
      </c>
      <c r="AK43" s="20" t="str">
        <f>ZZZ__FnCalls!F40</f>
        <v>MMM 2012</v>
      </c>
      <c r="AL43" s="20" t="str">
        <f>ZZZ__FnCalls!F41</f>
        <v>MMM 2012</v>
      </c>
      <c r="AM43" s="20" t="str">
        <f>ZZZ__FnCalls!F42</f>
        <v>MMM 2012</v>
      </c>
      <c r="AN43" s="21" t="str">
        <f>ZZZ__FnCalls!H31</f>
        <v>2012</v>
      </c>
      <c r="AO43" s="20" t="str">
        <f>ZZZ__FnCalls!F43</f>
        <v>MMM 2013</v>
      </c>
      <c r="AP43" s="20" t="str">
        <f>ZZZ__FnCalls!F44</f>
        <v>MMM 2013</v>
      </c>
      <c r="AQ43" s="20" t="str">
        <f>ZZZ__FnCalls!F45</f>
        <v>MMM 2013</v>
      </c>
      <c r="AR43" s="20" t="str">
        <f>ZZZ__FnCalls!F46</f>
        <v>MMM 2013</v>
      </c>
      <c r="AS43" s="20" t="str">
        <f>ZZZ__FnCalls!F47</f>
        <v>MMM 2013</v>
      </c>
      <c r="AT43" s="20" t="str">
        <f>ZZZ__FnCalls!F48</f>
        <v>MMM 2013</v>
      </c>
      <c r="AU43" s="20" t="str">
        <f>ZZZ__FnCalls!F49</f>
        <v>MMM 2013</v>
      </c>
      <c r="AV43" s="20" t="str">
        <f>ZZZ__FnCalls!F50</f>
        <v>MMM 2013</v>
      </c>
      <c r="AW43" s="20" t="str">
        <f>ZZZ__FnCalls!F51</f>
        <v>MMM 2013</v>
      </c>
      <c r="AX43" s="20" t="str">
        <f>ZZZ__FnCalls!F52</f>
        <v>MMM 2013</v>
      </c>
      <c r="AY43" s="20" t="str">
        <f>ZZZ__FnCalls!F53</f>
        <v>MMM 2013</v>
      </c>
      <c r="AZ43" s="20" t="str">
        <f>ZZZ__FnCalls!F54</f>
        <v>MMM 2013</v>
      </c>
      <c r="BA43" s="21" t="str">
        <f>ZZZ__FnCalls!H43</f>
        <v>2013</v>
      </c>
      <c r="BB43" s="20" t="str">
        <f>ZZZ__FnCalls!F55</f>
        <v>MMM 2014</v>
      </c>
      <c r="BC43" s="20" t="str">
        <f>ZZZ__FnCalls!F56</f>
        <v>MMM 2014</v>
      </c>
      <c r="BD43" s="20" t="str">
        <f>ZZZ__FnCalls!F57</f>
        <v>MMM 2014</v>
      </c>
      <c r="BE43" s="20" t="str">
        <f>ZZZ__FnCalls!F58</f>
        <v>MMM 2014</v>
      </c>
      <c r="BF43" s="20" t="str">
        <f>ZZZ__FnCalls!F59</f>
        <v>MMM 2014</v>
      </c>
      <c r="BG43" s="20" t="str">
        <f>ZZZ__FnCalls!F60</f>
        <v>MMM 2014</v>
      </c>
      <c r="BH43" s="20" t="str">
        <f>ZZZ__FnCalls!F61</f>
        <v>MMM 2014</v>
      </c>
      <c r="BI43" s="20" t="str">
        <f>ZZZ__FnCalls!F62</f>
        <v>MMM 2014</v>
      </c>
      <c r="BJ43" s="20" t="str">
        <f>ZZZ__FnCalls!F63</f>
        <v>MMM 2014</v>
      </c>
      <c r="BK43" s="20" t="str">
        <f>ZZZ__FnCalls!F64</f>
        <v>MMM 2014</v>
      </c>
      <c r="BL43" s="20" t="str">
        <f>ZZZ__FnCalls!F65</f>
        <v>MMM 2014</v>
      </c>
      <c r="BM43" s="20" t="str">
        <f>ZZZ__FnCalls!F66</f>
        <v>MMM 2014</v>
      </c>
      <c r="BN43" s="21" t="str">
        <f>ZZZ__FnCalls!H55</f>
        <v>2014</v>
      </c>
      <c r="BO43" s="20" t="str">
        <f>ZZZ__FnCalls!F67</f>
        <v>MMM 2015</v>
      </c>
      <c r="BP43" s="20" t="str">
        <f>ZZZ__FnCalls!F68</f>
        <v>MMM 2015</v>
      </c>
      <c r="BQ43" s="20" t="str">
        <f>ZZZ__FnCalls!F69</f>
        <v>MMM 2015</v>
      </c>
      <c r="BR43" s="20" t="str">
        <f>ZZZ__FnCalls!F70</f>
        <v>MMM 2015</v>
      </c>
      <c r="BS43" s="20" t="str">
        <f>ZZZ__FnCalls!F71</f>
        <v>MMM 2015</v>
      </c>
      <c r="BT43" s="20" t="str">
        <f>ZZZ__FnCalls!F72</f>
        <v>MMM 2015</v>
      </c>
      <c r="BU43" s="20" t="str">
        <f>ZZZ__FnCalls!F73</f>
        <v>MMM 2015</v>
      </c>
      <c r="BV43" s="20" t="str">
        <f>ZZZ__FnCalls!F74</f>
        <v>MMM 2015</v>
      </c>
      <c r="BW43" s="20" t="str">
        <f>ZZZ__FnCalls!F75</f>
        <v>MMM 2015</v>
      </c>
      <c r="BX43" s="20" t="str">
        <f>ZZZ__FnCalls!F76</f>
        <v>MMM 2015</v>
      </c>
      <c r="BY43" s="20" t="str">
        <f>ZZZ__FnCalls!F77</f>
        <v>MMM 2015</v>
      </c>
      <c r="BZ43" s="20" t="str">
        <f>ZZZ__FnCalls!F78</f>
        <v>MMM 2015</v>
      </c>
      <c r="CA43" s="21" t="str">
        <f>ZZZ__FnCalls!H67</f>
        <v>2015</v>
      </c>
      <c r="CB43" s="20" t="str">
        <f>ZZZ__FnCalls!F79</f>
        <v>MMM 2016</v>
      </c>
      <c r="CC43" s="20" t="str">
        <f>ZZZ__FnCalls!F80</f>
        <v>MMM 2016</v>
      </c>
      <c r="CD43" s="20" t="str">
        <f>ZZZ__FnCalls!F81</f>
        <v>MMM 2016</v>
      </c>
      <c r="CE43" s="20" t="str">
        <f>ZZZ__FnCalls!F82</f>
        <v>MMM 2016</v>
      </c>
      <c r="CF43" s="20" t="str">
        <f>ZZZ__FnCalls!F83</f>
        <v>MMM 2016</v>
      </c>
      <c r="CG43" s="20" t="str">
        <f>ZZZ__FnCalls!F84</f>
        <v>MMM 2016</v>
      </c>
      <c r="CH43" s="20" t="str">
        <f>ZZZ__FnCalls!F85</f>
        <v>MMM 2016</v>
      </c>
      <c r="CI43" s="20" t="str">
        <f>ZZZ__FnCalls!F86</f>
        <v>MMM 2016</v>
      </c>
      <c r="CJ43" s="20" t="str">
        <f>ZZZ__FnCalls!F87</f>
        <v>MMM 2016</v>
      </c>
      <c r="CK43" s="20" t="str">
        <f>ZZZ__FnCalls!F88</f>
        <v>MMM 2016</v>
      </c>
      <c r="CL43" s="20" t="str">
        <f>ZZZ__FnCalls!F89</f>
        <v>MMM 2016</v>
      </c>
      <c r="CM43" s="20" t="str">
        <f>ZZZ__FnCalls!F90</f>
        <v>MMM 2016</v>
      </c>
      <c r="CN43" s="21" t="str">
        <f>ZZZ__FnCalls!H79</f>
        <v>2016</v>
      </c>
      <c r="CO43" s="20" t="str">
        <f>ZZZ__FnCalls!F91</f>
        <v>MMM 2017</v>
      </c>
      <c r="CP43" s="20" t="str">
        <f>ZZZ__FnCalls!F92</f>
        <v>MMM 2017</v>
      </c>
      <c r="CQ43" s="20" t="str">
        <f>ZZZ__FnCalls!F93</f>
        <v>MMM 2017</v>
      </c>
      <c r="CR43" s="20" t="str">
        <f>ZZZ__FnCalls!F94</f>
        <v>MMM 2017</v>
      </c>
      <c r="CS43" s="20" t="str">
        <f>ZZZ__FnCalls!F95</f>
        <v>MMM 2017</v>
      </c>
      <c r="CT43" s="20" t="str">
        <f>ZZZ__FnCalls!F96</f>
        <v>MMM 2017</v>
      </c>
      <c r="CU43" s="20" t="str">
        <f>ZZZ__FnCalls!F97</f>
        <v>MMM 2017</v>
      </c>
      <c r="CV43" s="20" t="str">
        <f>ZZZ__FnCalls!F98</f>
        <v>MMM 2017</v>
      </c>
      <c r="CW43" s="20" t="str">
        <f>ZZZ__FnCalls!F99</f>
        <v>MMM 2017</v>
      </c>
      <c r="CX43" s="20" t="str">
        <f>ZZZ__FnCalls!F100</f>
        <v>MMM 2017</v>
      </c>
      <c r="CY43" s="20" t="str">
        <f>ZZZ__FnCalls!F101</f>
        <v>MMM 2017</v>
      </c>
      <c r="CZ43" s="20" t="str">
        <f>ZZZ__FnCalls!F102</f>
        <v>MMM 2017</v>
      </c>
      <c r="DA43" s="21" t="str">
        <f>ZZZ__FnCalls!H91</f>
        <v>2017</v>
      </c>
      <c r="DB43" s="20" t="str">
        <f>ZZZ__FnCalls!F103</f>
        <v>MMM 2018</v>
      </c>
      <c r="DC43" s="20" t="str">
        <f>ZZZ__FnCalls!F104</f>
        <v>MMM 2018</v>
      </c>
      <c r="DD43" s="20" t="str">
        <f>ZZZ__FnCalls!F105</f>
        <v>MMM 2018</v>
      </c>
      <c r="DE43" s="20" t="str">
        <f>ZZZ__FnCalls!F106</f>
        <v>MMM 2018</v>
      </c>
      <c r="DF43" s="20" t="str">
        <f>ZZZ__FnCalls!F107</f>
        <v>MMM 2018</v>
      </c>
      <c r="DG43" s="20" t="str">
        <f>ZZZ__FnCalls!F108</f>
        <v>MMM 2018</v>
      </c>
      <c r="DH43" s="20" t="str">
        <f>ZZZ__FnCalls!F109</f>
        <v>MMM 2018</v>
      </c>
      <c r="DI43" s="20" t="str">
        <f>ZZZ__FnCalls!F110</f>
        <v>MMM 2018</v>
      </c>
      <c r="DJ43" s="20" t="str">
        <f>ZZZ__FnCalls!F111</f>
        <v>MMM 2018</v>
      </c>
      <c r="DK43" s="20" t="str">
        <f>ZZZ__FnCalls!F112</f>
        <v>MMM 2018</v>
      </c>
      <c r="DL43" s="20" t="str">
        <f>ZZZ__FnCalls!F113</f>
        <v>MMM 2018</v>
      </c>
      <c r="DM43" s="20" t="str">
        <f>ZZZ__FnCalls!F114</f>
        <v>MMM 2018</v>
      </c>
      <c r="DN43" s="21" t="str">
        <f>ZZZ__FnCalls!H103</f>
        <v>2018</v>
      </c>
      <c r="DO43" s="20" t="str">
        <f>ZZZ__FnCalls!F115</f>
        <v>MMM 2019</v>
      </c>
      <c r="DP43" s="20" t="str">
        <f>ZZZ__FnCalls!F116</f>
        <v>MMM 2019</v>
      </c>
      <c r="DQ43" s="20" t="str">
        <f>ZZZ__FnCalls!F117</f>
        <v>MMM 2019</v>
      </c>
      <c r="DR43" s="20" t="str">
        <f>ZZZ__FnCalls!F118</f>
        <v>MMM 2019</v>
      </c>
      <c r="DS43" s="20" t="str">
        <f>ZZZ__FnCalls!F119</f>
        <v>MMM 2019</v>
      </c>
      <c r="DT43" s="20" t="str">
        <f>ZZZ__FnCalls!F120</f>
        <v>MMM 2019</v>
      </c>
      <c r="DU43" s="20" t="str">
        <f>ZZZ__FnCalls!F121</f>
        <v>MMM 2019</v>
      </c>
      <c r="DV43" s="20" t="str">
        <f>ZZZ__FnCalls!F122</f>
        <v>MMM 2019</v>
      </c>
      <c r="DW43" s="20" t="str">
        <f>ZZZ__FnCalls!F123</f>
        <v>MMM 2019</v>
      </c>
      <c r="DX43" s="20" t="str">
        <f>ZZZ__FnCalls!F124</f>
        <v>MMM 2019</v>
      </c>
      <c r="DY43" s="20" t="str">
        <f>ZZZ__FnCalls!F125</f>
        <v>MMM 2019</v>
      </c>
      <c r="DZ43" s="20" t="str">
        <f>ZZZ__FnCalls!F126</f>
        <v>MMM 2019</v>
      </c>
      <c r="EA43" s="21" t="str">
        <f>ZZZ__FnCalls!H115</f>
        <v>2019</v>
      </c>
      <c r="EB43" s="20" t="str">
        <f>ZZZ__FnCalls!F127</f>
        <v>MMM 2020</v>
      </c>
      <c r="EC43" s="20" t="str">
        <f>ZZZ__FnCalls!F128</f>
        <v>MMM 2020</v>
      </c>
      <c r="ED43" s="20" t="str">
        <f>ZZZ__FnCalls!F129</f>
        <v>MMM 2020</v>
      </c>
      <c r="EE43" s="20" t="str">
        <f>ZZZ__FnCalls!F130</f>
        <v>MMM 2020</v>
      </c>
      <c r="EF43" s="20" t="str">
        <f>ZZZ__FnCalls!F131</f>
        <v>MMM 2020</v>
      </c>
      <c r="EG43" s="20" t="str">
        <f>ZZZ__FnCalls!F132</f>
        <v>MMM 2020</v>
      </c>
      <c r="EH43" s="20" t="str">
        <f>ZZZ__FnCalls!F133</f>
        <v>MMM 2020</v>
      </c>
      <c r="EI43" s="20" t="str">
        <f>ZZZ__FnCalls!F134</f>
        <v>MMM 2020</v>
      </c>
      <c r="EJ43" s="20" t="str">
        <f>ZZZ__FnCalls!F135</f>
        <v>MMM 2020</v>
      </c>
      <c r="EK43" s="20" t="str">
        <f>ZZZ__FnCalls!F136</f>
        <v>MMM 2020</v>
      </c>
      <c r="EL43" s="20" t="str">
        <f>ZZZ__FnCalls!F137</f>
        <v>MMM 2020</v>
      </c>
      <c r="EM43" s="20" t="str">
        <f>ZZZ__FnCalls!F138</f>
        <v>MMM 2020</v>
      </c>
      <c r="EN43" s="21" t="str">
        <f>ZZZ__FnCalls!H127</f>
        <v>2020</v>
      </c>
    </row>
    <row r="44" spans="1:144" ht="12.75" customHeight="1" x14ac:dyDescent="0.2">
      <c r="A44" s="5"/>
      <c r="B44" s="46">
        <f>ZZZ__FnCalls!A7</f>
        <v>40179</v>
      </c>
      <c r="C44" s="46">
        <f>ZZZ__FnCalls!A8</f>
        <v>40210</v>
      </c>
      <c r="D44" s="46">
        <f>ZZZ__FnCalls!A9</f>
        <v>40238</v>
      </c>
      <c r="E44" s="46">
        <f>ZZZ__FnCalls!A10</f>
        <v>40269</v>
      </c>
      <c r="F44" s="46">
        <f>ZZZ__FnCalls!A11</f>
        <v>40299</v>
      </c>
      <c r="G44" s="46">
        <f>ZZZ__FnCalls!A12</f>
        <v>40330</v>
      </c>
      <c r="H44" s="46">
        <f>ZZZ__FnCalls!A13</f>
        <v>40360</v>
      </c>
      <c r="I44" s="46">
        <f>ZZZ__FnCalls!A14</f>
        <v>40391</v>
      </c>
      <c r="J44" s="46">
        <f>ZZZ__FnCalls!A15</f>
        <v>40422</v>
      </c>
      <c r="K44" s="46">
        <f>ZZZ__FnCalls!A16</f>
        <v>40452</v>
      </c>
      <c r="L44" s="46">
        <f>ZZZ__FnCalls!A17</f>
        <v>40483</v>
      </c>
      <c r="M44" s="46">
        <f>ZZZ__FnCalls!A18</f>
        <v>40513</v>
      </c>
      <c r="N44" s="47">
        <f>ZZZ__FnCalls!A7</f>
        <v>40179</v>
      </c>
      <c r="O44" s="46">
        <f>ZZZ__FnCalls!A19</f>
        <v>40544</v>
      </c>
      <c r="P44" s="46">
        <f>ZZZ__FnCalls!A20</f>
        <v>40575</v>
      </c>
      <c r="Q44" s="46">
        <f>ZZZ__FnCalls!A21</f>
        <v>40603</v>
      </c>
      <c r="R44" s="46">
        <f>ZZZ__FnCalls!A22</f>
        <v>40634</v>
      </c>
      <c r="S44" s="46">
        <f>ZZZ__FnCalls!A23</f>
        <v>40664</v>
      </c>
      <c r="T44" s="46">
        <f>ZZZ__FnCalls!A24</f>
        <v>40695</v>
      </c>
      <c r="U44" s="46">
        <f>ZZZ__FnCalls!A25</f>
        <v>40725</v>
      </c>
      <c r="V44" s="46">
        <f>ZZZ__FnCalls!A26</f>
        <v>40756</v>
      </c>
      <c r="W44" s="46">
        <f>ZZZ__FnCalls!A27</f>
        <v>40787</v>
      </c>
      <c r="X44" s="46">
        <f>ZZZ__FnCalls!A28</f>
        <v>40817</v>
      </c>
      <c r="Y44" s="46">
        <f>ZZZ__FnCalls!A29</f>
        <v>40848</v>
      </c>
      <c r="Z44" s="46">
        <f>ZZZ__FnCalls!A30</f>
        <v>40878</v>
      </c>
      <c r="AA44" s="47">
        <f>ZZZ__FnCalls!A19</f>
        <v>40544</v>
      </c>
      <c r="AB44" s="46">
        <f>ZZZ__FnCalls!A31</f>
        <v>40909</v>
      </c>
      <c r="AC44" s="46">
        <f>ZZZ__FnCalls!A32</f>
        <v>40940</v>
      </c>
      <c r="AD44" s="46">
        <f>ZZZ__FnCalls!A33</f>
        <v>40969</v>
      </c>
      <c r="AE44" s="46">
        <f>ZZZ__FnCalls!A34</f>
        <v>41000</v>
      </c>
      <c r="AF44" s="46">
        <f>ZZZ__FnCalls!A35</f>
        <v>41030</v>
      </c>
      <c r="AG44" s="46">
        <f>ZZZ__FnCalls!A36</f>
        <v>41061</v>
      </c>
      <c r="AH44" s="46">
        <f>ZZZ__FnCalls!A37</f>
        <v>41091</v>
      </c>
      <c r="AI44" s="46">
        <f>ZZZ__FnCalls!A38</f>
        <v>41122</v>
      </c>
      <c r="AJ44" s="46">
        <f>ZZZ__FnCalls!A39</f>
        <v>41153</v>
      </c>
      <c r="AK44" s="46">
        <f>ZZZ__FnCalls!A40</f>
        <v>41183</v>
      </c>
      <c r="AL44" s="46">
        <f>ZZZ__FnCalls!A41</f>
        <v>41214</v>
      </c>
      <c r="AM44" s="46">
        <f>ZZZ__FnCalls!A42</f>
        <v>41244</v>
      </c>
      <c r="AN44" s="47">
        <f>ZZZ__FnCalls!A31</f>
        <v>40909</v>
      </c>
      <c r="AO44" s="46">
        <f>ZZZ__FnCalls!A43</f>
        <v>41275</v>
      </c>
      <c r="AP44" s="46">
        <f>ZZZ__FnCalls!A44</f>
        <v>41306</v>
      </c>
      <c r="AQ44" s="46">
        <f>ZZZ__FnCalls!A45</f>
        <v>41334</v>
      </c>
      <c r="AR44" s="46">
        <f>ZZZ__FnCalls!A46</f>
        <v>41365</v>
      </c>
      <c r="AS44" s="46">
        <f>ZZZ__FnCalls!A47</f>
        <v>41395</v>
      </c>
      <c r="AT44" s="46">
        <f>ZZZ__FnCalls!A48</f>
        <v>41426</v>
      </c>
      <c r="AU44" s="46">
        <f>ZZZ__FnCalls!A49</f>
        <v>41456</v>
      </c>
      <c r="AV44" s="46">
        <f>ZZZ__FnCalls!A50</f>
        <v>41487</v>
      </c>
      <c r="AW44" s="46">
        <f>ZZZ__FnCalls!A51</f>
        <v>41518</v>
      </c>
      <c r="AX44" s="46">
        <f>ZZZ__FnCalls!A52</f>
        <v>41548</v>
      </c>
      <c r="AY44" s="46">
        <f>ZZZ__FnCalls!A53</f>
        <v>41579</v>
      </c>
      <c r="AZ44" s="46">
        <f>ZZZ__FnCalls!A54</f>
        <v>41609</v>
      </c>
      <c r="BA44" s="47">
        <f>ZZZ__FnCalls!A43</f>
        <v>41275</v>
      </c>
      <c r="BB44" s="46">
        <f>ZZZ__FnCalls!A55</f>
        <v>41640</v>
      </c>
      <c r="BC44" s="46">
        <f>ZZZ__FnCalls!A56</f>
        <v>41671</v>
      </c>
      <c r="BD44" s="46">
        <f>ZZZ__FnCalls!A57</f>
        <v>41699</v>
      </c>
      <c r="BE44" s="46">
        <f>ZZZ__FnCalls!A58</f>
        <v>41730</v>
      </c>
      <c r="BF44" s="46">
        <f>ZZZ__FnCalls!A59</f>
        <v>41760</v>
      </c>
      <c r="BG44" s="46">
        <f>ZZZ__FnCalls!A60</f>
        <v>41791</v>
      </c>
      <c r="BH44" s="46">
        <f>ZZZ__FnCalls!A61</f>
        <v>41821</v>
      </c>
      <c r="BI44" s="46">
        <f>ZZZ__FnCalls!A62</f>
        <v>41852</v>
      </c>
      <c r="BJ44" s="46">
        <f>ZZZ__FnCalls!A63</f>
        <v>41883</v>
      </c>
      <c r="BK44" s="46">
        <f>ZZZ__FnCalls!A64</f>
        <v>41913</v>
      </c>
      <c r="BL44" s="46">
        <f>ZZZ__FnCalls!A65</f>
        <v>41944</v>
      </c>
      <c r="BM44" s="46">
        <f>ZZZ__FnCalls!A66</f>
        <v>41974</v>
      </c>
      <c r="BN44" s="47">
        <f>ZZZ__FnCalls!A55</f>
        <v>41640</v>
      </c>
      <c r="BO44" s="46">
        <f>ZZZ__FnCalls!A67</f>
        <v>42005</v>
      </c>
      <c r="BP44" s="46">
        <f>ZZZ__FnCalls!A68</f>
        <v>42036</v>
      </c>
      <c r="BQ44" s="46">
        <f>ZZZ__FnCalls!A69</f>
        <v>42064</v>
      </c>
      <c r="BR44" s="46">
        <f>ZZZ__FnCalls!A70</f>
        <v>42095</v>
      </c>
      <c r="BS44" s="46">
        <f>ZZZ__FnCalls!A71</f>
        <v>42125</v>
      </c>
      <c r="BT44" s="46">
        <f>ZZZ__FnCalls!A72</f>
        <v>42156</v>
      </c>
      <c r="BU44" s="46">
        <f>ZZZ__FnCalls!A73</f>
        <v>42186</v>
      </c>
      <c r="BV44" s="46">
        <f>ZZZ__FnCalls!A74</f>
        <v>42217</v>
      </c>
      <c r="BW44" s="46">
        <f>ZZZ__FnCalls!A75</f>
        <v>42248</v>
      </c>
      <c r="BX44" s="46">
        <f>ZZZ__FnCalls!A76</f>
        <v>42278</v>
      </c>
      <c r="BY44" s="46">
        <f>ZZZ__FnCalls!A77</f>
        <v>42309</v>
      </c>
      <c r="BZ44" s="46">
        <f>ZZZ__FnCalls!A78</f>
        <v>42339</v>
      </c>
      <c r="CA44" s="47">
        <f>ZZZ__FnCalls!A67</f>
        <v>42005</v>
      </c>
      <c r="CB44" s="46">
        <f>ZZZ__FnCalls!A79</f>
        <v>42370</v>
      </c>
      <c r="CC44" s="46">
        <f>ZZZ__FnCalls!A80</f>
        <v>42401</v>
      </c>
      <c r="CD44" s="46">
        <f>ZZZ__FnCalls!A81</f>
        <v>42430</v>
      </c>
      <c r="CE44" s="46">
        <f>ZZZ__FnCalls!A82</f>
        <v>42461</v>
      </c>
      <c r="CF44" s="46">
        <f>ZZZ__FnCalls!A83</f>
        <v>42491</v>
      </c>
      <c r="CG44" s="46">
        <f>ZZZ__FnCalls!A84</f>
        <v>42522</v>
      </c>
      <c r="CH44" s="46">
        <f>ZZZ__FnCalls!A85</f>
        <v>42552</v>
      </c>
      <c r="CI44" s="46">
        <f>ZZZ__FnCalls!A86</f>
        <v>42583</v>
      </c>
      <c r="CJ44" s="46">
        <f>ZZZ__FnCalls!A87</f>
        <v>42614</v>
      </c>
      <c r="CK44" s="46">
        <f>ZZZ__FnCalls!A88</f>
        <v>42644</v>
      </c>
      <c r="CL44" s="46">
        <f>ZZZ__FnCalls!A89</f>
        <v>42675</v>
      </c>
      <c r="CM44" s="46">
        <f>ZZZ__FnCalls!A90</f>
        <v>42705</v>
      </c>
      <c r="CN44" s="47">
        <f>ZZZ__FnCalls!A79</f>
        <v>42370</v>
      </c>
      <c r="CO44" s="46">
        <f>ZZZ__FnCalls!A91</f>
        <v>42736</v>
      </c>
      <c r="CP44" s="46">
        <f>ZZZ__FnCalls!A92</f>
        <v>42767</v>
      </c>
      <c r="CQ44" s="46">
        <f>ZZZ__FnCalls!A93</f>
        <v>42795</v>
      </c>
      <c r="CR44" s="46">
        <f>ZZZ__FnCalls!A94</f>
        <v>42826</v>
      </c>
      <c r="CS44" s="46">
        <f>ZZZ__FnCalls!A95</f>
        <v>42856</v>
      </c>
      <c r="CT44" s="46">
        <f>ZZZ__FnCalls!A96</f>
        <v>42887</v>
      </c>
      <c r="CU44" s="46">
        <f>ZZZ__FnCalls!A97</f>
        <v>42917</v>
      </c>
      <c r="CV44" s="46">
        <f>ZZZ__FnCalls!A98</f>
        <v>42948</v>
      </c>
      <c r="CW44" s="46">
        <f>ZZZ__FnCalls!A99</f>
        <v>42979</v>
      </c>
      <c r="CX44" s="46">
        <f>ZZZ__FnCalls!A100</f>
        <v>43009</v>
      </c>
      <c r="CY44" s="46">
        <f>ZZZ__FnCalls!A101</f>
        <v>43040</v>
      </c>
      <c r="CZ44" s="46">
        <f>ZZZ__FnCalls!A102</f>
        <v>43070</v>
      </c>
      <c r="DA44" s="47">
        <f>ZZZ__FnCalls!A91</f>
        <v>42736</v>
      </c>
      <c r="DB44" s="46">
        <f>ZZZ__FnCalls!A103</f>
        <v>43101</v>
      </c>
      <c r="DC44" s="46">
        <f>ZZZ__FnCalls!A104</f>
        <v>43132</v>
      </c>
      <c r="DD44" s="46">
        <f>ZZZ__FnCalls!A105</f>
        <v>43160</v>
      </c>
      <c r="DE44" s="46">
        <f>ZZZ__FnCalls!A106</f>
        <v>43191</v>
      </c>
      <c r="DF44" s="46">
        <f>ZZZ__FnCalls!A107</f>
        <v>43221</v>
      </c>
      <c r="DG44" s="46">
        <f>ZZZ__FnCalls!A108</f>
        <v>43252</v>
      </c>
      <c r="DH44" s="46">
        <f>ZZZ__FnCalls!A109</f>
        <v>43282</v>
      </c>
      <c r="DI44" s="46">
        <f>ZZZ__FnCalls!A110</f>
        <v>43313</v>
      </c>
      <c r="DJ44" s="46">
        <f>ZZZ__FnCalls!A111</f>
        <v>43344</v>
      </c>
      <c r="DK44" s="46">
        <f>ZZZ__FnCalls!A112</f>
        <v>43374</v>
      </c>
      <c r="DL44" s="46">
        <f>ZZZ__FnCalls!A113</f>
        <v>43405</v>
      </c>
      <c r="DM44" s="46">
        <f>ZZZ__FnCalls!A114</f>
        <v>43435</v>
      </c>
      <c r="DN44" s="47">
        <f>ZZZ__FnCalls!A103</f>
        <v>43101</v>
      </c>
      <c r="DO44" s="46">
        <f>ZZZ__FnCalls!A115</f>
        <v>43466</v>
      </c>
      <c r="DP44" s="46">
        <f>ZZZ__FnCalls!A116</f>
        <v>43497</v>
      </c>
      <c r="DQ44" s="46">
        <f>ZZZ__FnCalls!A117</f>
        <v>43525</v>
      </c>
      <c r="DR44" s="46">
        <f>ZZZ__FnCalls!A118</f>
        <v>43556</v>
      </c>
      <c r="DS44" s="46">
        <f>ZZZ__FnCalls!A119</f>
        <v>43586</v>
      </c>
      <c r="DT44" s="46">
        <f>ZZZ__FnCalls!A120</f>
        <v>43617</v>
      </c>
      <c r="DU44" s="46">
        <f>ZZZ__FnCalls!A121</f>
        <v>43647</v>
      </c>
      <c r="DV44" s="46">
        <f>ZZZ__FnCalls!A122</f>
        <v>43678</v>
      </c>
      <c r="DW44" s="46">
        <f>ZZZ__FnCalls!A123</f>
        <v>43709</v>
      </c>
      <c r="DX44" s="46">
        <f>ZZZ__FnCalls!A124</f>
        <v>43739</v>
      </c>
      <c r="DY44" s="46">
        <f>ZZZ__FnCalls!A125</f>
        <v>43770</v>
      </c>
      <c r="DZ44" s="46">
        <f>ZZZ__FnCalls!A126</f>
        <v>43800</v>
      </c>
      <c r="EA44" s="47">
        <f>ZZZ__FnCalls!A115</f>
        <v>43466</v>
      </c>
      <c r="EB44" s="46">
        <f>ZZZ__FnCalls!A127</f>
        <v>43831</v>
      </c>
      <c r="EC44" s="46">
        <f>ZZZ__FnCalls!A128</f>
        <v>43862</v>
      </c>
      <c r="ED44" s="46">
        <f>ZZZ__FnCalls!A129</f>
        <v>43891</v>
      </c>
      <c r="EE44" s="46">
        <f>ZZZ__FnCalls!A130</f>
        <v>43922</v>
      </c>
      <c r="EF44" s="46">
        <f>ZZZ__FnCalls!A131</f>
        <v>43952</v>
      </c>
      <c r="EG44" s="46">
        <f>ZZZ__FnCalls!A132</f>
        <v>43983</v>
      </c>
      <c r="EH44" s="46">
        <f>ZZZ__FnCalls!A133</f>
        <v>44013</v>
      </c>
      <c r="EI44" s="46">
        <f>ZZZ__FnCalls!A134</f>
        <v>44044</v>
      </c>
      <c r="EJ44" s="46">
        <f>ZZZ__FnCalls!A135</f>
        <v>44075</v>
      </c>
      <c r="EK44" s="46">
        <f>ZZZ__FnCalls!A136</f>
        <v>44105</v>
      </c>
      <c r="EL44" s="46">
        <f>ZZZ__FnCalls!A137</f>
        <v>44136</v>
      </c>
      <c r="EM44" s="46">
        <f>ZZZ__FnCalls!A138</f>
        <v>44166</v>
      </c>
      <c r="EN44" s="47">
        <f>ZZZ__FnCalls!A127</f>
        <v>43831</v>
      </c>
    </row>
    <row r="45" spans="1:144" ht="12.75" customHeight="1" x14ac:dyDescent="0.2">
      <c r="A45" s="2" t="str">
        <f>"Output_Potential_2"</f>
        <v>Output_Potential_2</v>
      </c>
    </row>
    <row r="46" spans="1:144" ht="12.75" customHeight="1" x14ac:dyDescent="0.2">
      <c r="B46" s="19" t="str">
        <f>ZZZ__FnCalls!F7</f>
        <v>MMM 2010</v>
      </c>
      <c r="C46" s="20" t="str">
        <f>ZZZ__FnCalls!F8</f>
        <v>MMM 2010</v>
      </c>
      <c r="D46" s="20" t="str">
        <f>ZZZ__FnCalls!F9</f>
        <v>MMM 2010</v>
      </c>
      <c r="E46" s="20" t="str">
        <f>ZZZ__FnCalls!F10</f>
        <v>MMM 2010</v>
      </c>
      <c r="F46" s="20" t="str">
        <f>ZZZ__FnCalls!F11</f>
        <v>MMM 2010</v>
      </c>
      <c r="G46" s="20" t="str">
        <f>ZZZ__FnCalls!F12</f>
        <v>MMM 2010</v>
      </c>
      <c r="H46" s="20" t="str">
        <f>ZZZ__FnCalls!F13</f>
        <v>MMM 2010</v>
      </c>
      <c r="I46" s="20" t="str">
        <f>ZZZ__FnCalls!F14</f>
        <v>MMM 2010</v>
      </c>
      <c r="J46" s="20" t="str">
        <f>ZZZ__FnCalls!F15</f>
        <v>MMM 2010</v>
      </c>
      <c r="K46" s="20" t="str">
        <f>ZZZ__FnCalls!F16</f>
        <v>MMM 2010</v>
      </c>
      <c r="L46" s="20" t="str">
        <f>ZZZ__FnCalls!F17</f>
        <v>MMM 2010</v>
      </c>
      <c r="M46" s="20" t="str">
        <f>ZZZ__FnCalls!F18</f>
        <v>MMM 2010</v>
      </c>
      <c r="N46" s="21" t="str">
        <f>ZZZ__FnCalls!H7</f>
        <v>2010</v>
      </c>
      <c r="O46" s="20" t="str">
        <f>ZZZ__FnCalls!F19</f>
        <v>MMM 2011</v>
      </c>
      <c r="P46" s="20" t="str">
        <f>ZZZ__FnCalls!F20</f>
        <v>MMM 2011</v>
      </c>
      <c r="Q46" s="20" t="str">
        <f>ZZZ__FnCalls!F21</f>
        <v>MMM 2011</v>
      </c>
      <c r="R46" s="20" t="str">
        <f>ZZZ__FnCalls!F22</f>
        <v>MMM 2011</v>
      </c>
      <c r="S46" s="20" t="str">
        <f>ZZZ__FnCalls!F23</f>
        <v>MMM 2011</v>
      </c>
      <c r="T46" s="20" t="str">
        <f>ZZZ__FnCalls!F24</f>
        <v>MMM 2011</v>
      </c>
      <c r="U46" s="20" t="str">
        <f>ZZZ__FnCalls!F25</f>
        <v>MMM 2011</v>
      </c>
      <c r="V46" s="20" t="str">
        <f>ZZZ__FnCalls!F26</f>
        <v>MMM 2011</v>
      </c>
      <c r="W46" s="20" t="str">
        <f>ZZZ__FnCalls!F27</f>
        <v>MMM 2011</v>
      </c>
      <c r="X46" s="20" t="str">
        <f>ZZZ__FnCalls!F28</f>
        <v>MMM 2011</v>
      </c>
      <c r="Y46" s="20" t="str">
        <f>ZZZ__FnCalls!F29</f>
        <v>MMM 2011</v>
      </c>
      <c r="Z46" s="20" t="str">
        <f>ZZZ__FnCalls!F30</f>
        <v>MMM 2011</v>
      </c>
      <c r="AA46" s="21" t="str">
        <f>ZZZ__FnCalls!H19</f>
        <v>2011</v>
      </c>
      <c r="AB46" s="20" t="str">
        <f>ZZZ__FnCalls!F31</f>
        <v>MMM 2012</v>
      </c>
      <c r="AC46" s="20" t="str">
        <f>ZZZ__FnCalls!F32</f>
        <v>MMM 2012</v>
      </c>
      <c r="AD46" s="20" t="str">
        <f>ZZZ__FnCalls!F33</f>
        <v>MMM 2012</v>
      </c>
      <c r="AE46" s="20" t="str">
        <f>ZZZ__FnCalls!F34</f>
        <v>MMM 2012</v>
      </c>
      <c r="AF46" s="20" t="str">
        <f>ZZZ__FnCalls!F35</f>
        <v>MMM 2012</v>
      </c>
      <c r="AG46" s="20" t="str">
        <f>ZZZ__FnCalls!F36</f>
        <v>MMM 2012</v>
      </c>
      <c r="AH46" s="20" t="str">
        <f>ZZZ__FnCalls!F37</f>
        <v>MMM 2012</v>
      </c>
      <c r="AI46" s="20" t="str">
        <f>ZZZ__FnCalls!F38</f>
        <v>MMM 2012</v>
      </c>
      <c r="AJ46" s="20" t="str">
        <f>ZZZ__FnCalls!F39</f>
        <v>MMM 2012</v>
      </c>
      <c r="AK46" s="20" t="str">
        <f>ZZZ__FnCalls!F40</f>
        <v>MMM 2012</v>
      </c>
      <c r="AL46" s="20" t="str">
        <f>ZZZ__FnCalls!F41</f>
        <v>MMM 2012</v>
      </c>
      <c r="AM46" s="20" t="str">
        <f>ZZZ__FnCalls!F42</f>
        <v>MMM 2012</v>
      </c>
      <c r="AN46" s="21" t="str">
        <f>ZZZ__FnCalls!H31</f>
        <v>2012</v>
      </c>
      <c r="AO46" s="20" t="str">
        <f>ZZZ__FnCalls!F43</f>
        <v>MMM 2013</v>
      </c>
      <c r="AP46" s="20" t="str">
        <f>ZZZ__FnCalls!F44</f>
        <v>MMM 2013</v>
      </c>
      <c r="AQ46" s="20" t="str">
        <f>ZZZ__FnCalls!F45</f>
        <v>MMM 2013</v>
      </c>
      <c r="AR46" s="20" t="str">
        <f>ZZZ__FnCalls!F46</f>
        <v>MMM 2013</v>
      </c>
      <c r="AS46" s="20" t="str">
        <f>ZZZ__FnCalls!F47</f>
        <v>MMM 2013</v>
      </c>
      <c r="AT46" s="20" t="str">
        <f>ZZZ__FnCalls!F48</f>
        <v>MMM 2013</v>
      </c>
      <c r="AU46" s="20" t="str">
        <f>ZZZ__FnCalls!F49</f>
        <v>MMM 2013</v>
      </c>
      <c r="AV46" s="20" t="str">
        <f>ZZZ__FnCalls!F50</f>
        <v>MMM 2013</v>
      </c>
      <c r="AW46" s="20" t="str">
        <f>ZZZ__FnCalls!F51</f>
        <v>MMM 2013</v>
      </c>
      <c r="AX46" s="20" t="str">
        <f>ZZZ__FnCalls!F52</f>
        <v>MMM 2013</v>
      </c>
      <c r="AY46" s="20" t="str">
        <f>ZZZ__FnCalls!F53</f>
        <v>MMM 2013</v>
      </c>
      <c r="AZ46" s="20" t="str">
        <f>ZZZ__FnCalls!F54</f>
        <v>MMM 2013</v>
      </c>
      <c r="BA46" s="21" t="str">
        <f>ZZZ__FnCalls!H43</f>
        <v>2013</v>
      </c>
      <c r="BB46" s="20" t="str">
        <f>ZZZ__FnCalls!F55</f>
        <v>MMM 2014</v>
      </c>
      <c r="BC46" s="20" t="str">
        <f>ZZZ__FnCalls!F56</f>
        <v>MMM 2014</v>
      </c>
      <c r="BD46" s="20" t="str">
        <f>ZZZ__FnCalls!F57</f>
        <v>MMM 2014</v>
      </c>
      <c r="BE46" s="20" t="str">
        <f>ZZZ__FnCalls!F58</f>
        <v>MMM 2014</v>
      </c>
      <c r="BF46" s="20" t="str">
        <f>ZZZ__FnCalls!F59</f>
        <v>MMM 2014</v>
      </c>
      <c r="BG46" s="20" t="str">
        <f>ZZZ__FnCalls!F60</f>
        <v>MMM 2014</v>
      </c>
      <c r="BH46" s="20" t="str">
        <f>ZZZ__FnCalls!F61</f>
        <v>MMM 2014</v>
      </c>
      <c r="BI46" s="20" t="str">
        <f>ZZZ__FnCalls!F62</f>
        <v>MMM 2014</v>
      </c>
      <c r="BJ46" s="20" t="str">
        <f>ZZZ__FnCalls!F63</f>
        <v>MMM 2014</v>
      </c>
      <c r="BK46" s="20" t="str">
        <f>ZZZ__FnCalls!F64</f>
        <v>MMM 2014</v>
      </c>
      <c r="BL46" s="20" t="str">
        <f>ZZZ__FnCalls!F65</f>
        <v>MMM 2014</v>
      </c>
      <c r="BM46" s="20" t="str">
        <f>ZZZ__FnCalls!F66</f>
        <v>MMM 2014</v>
      </c>
      <c r="BN46" s="21" t="str">
        <f>ZZZ__FnCalls!H55</f>
        <v>2014</v>
      </c>
      <c r="BO46" s="20" t="str">
        <f>ZZZ__FnCalls!F67</f>
        <v>MMM 2015</v>
      </c>
      <c r="BP46" s="20" t="str">
        <f>ZZZ__FnCalls!F68</f>
        <v>MMM 2015</v>
      </c>
      <c r="BQ46" s="20" t="str">
        <f>ZZZ__FnCalls!F69</f>
        <v>MMM 2015</v>
      </c>
      <c r="BR46" s="20" t="str">
        <f>ZZZ__FnCalls!F70</f>
        <v>MMM 2015</v>
      </c>
      <c r="BS46" s="20" t="str">
        <f>ZZZ__FnCalls!F71</f>
        <v>MMM 2015</v>
      </c>
      <c r="BT46" s="20" t="str">
        <f>ZZZ__FnCalls!F72</f>
        <v>MMM 2015</v>
      </c>
      <c r="BU46" s="20" t="str">
        <f>ZZZ__FnCalls!F73</f>
        <v>MMM 2015</v>
      </c>
      <c r="BV46" s="20" t="str">
        <f>ZZZ__FnCalls!F74</f>
        <v>MMM 2015</v>
      </c>
      <c r="BW46" s="20" t="str">
        <f>ZZZ__FnCalls!F75</f>
        <v>MMM 2015</v>
      </c>
      <c r="BX46" s="20" t="str">
        <f>ZZZ__FnCalls!F76</f>
        <v>MMM 2015</v>
      </c>
      <c r="BY46" s="20" t="str">
        <f>ZZZ__FnCalls!F77</f>
        <v>MMM 2015</v>
      </c>
      <c r="BZ46" s="20" t="str">
        <f>ZZZ__FnCalls!F78</f>
        <v>MMM 2015</v>
      </c>
      <c r="CA46" s="21" t="str">
        <f>ZZZ__FnCalls!H67</f>
        <v>2015</v>
      </c>
      <c r="CB46" s="20" t="str">
        <f>ZZZ__FnCalls!F79</f>
        <v>MMM 2016</v>
      </c>
      <c r="CC46" s="20" t="str">
        <f>ZZZ__FnCalls!F80</f>
        <v>MMM 2016</v>
      </c>
      <c r="CD46" s="20" t="str">
        <f>ZZZ__FnCalls!F81</f>
        <v>MMM 2016</v>
      </c>
      <c r="CE46" s="20" t="str">
        <f>ZZZ__FnCalls!F82</f>
        <v>MMM 2016</v>
      </c>
      <c r="CF46" s="20" t="str">
        <f>ZZZ__FnCalls!F83</f>
        <v>MMM 2016</v>
      </c>
      <c r="CG46" s="20" t="str">
        <f>ZZZ__FnCalls!F84</f>
        <v>MMM 2016</v>
      </c>
      <c r="CH46" s="20" t="str">
        <f>ZZZ__FnCalls!F85</f>
        <v>MMM 2016</v>
      </c>
      <c r="CI46" s="20" t="str">
        <f>ZZZ__FnCalls!F86</f>
        <v>MMM 2016</v>
      </c>
      <c r="CJ46" s="20" t="str">
        <f>ZZZ__FnCalls!F87</f>
        <v>MMM 2016</v>
      </c>
      <c r="CK46" s="20" t="str">
        <f>ZZZ__FnCalls!F88</f>
        <v>MMM 2016</v>
      </c>
      <c r="CL46" s="20" t="str">
        <f>ZZZ__FnCalls!F89</f>
        <v>MMM 2016</v>
      </c>
      <c r="CM46" s="20" t="str">
        <f>ZZZ__FnCalls!F90</f>
        <v>MMM 2016</v>
      </c>
      <c r="CN46" s="21" t="str">
        <f>ZZZ__FnCalls!H79</f>
        <v>2016</v>
      </c>
      <c r="CO46" s="20" t="str">
        <f>ZZZ__FnCalls!F91</f>
        <v>MMM 2017</v>
      </c>
      <c r="CP46" s="20" t="str">
        <f>ZZZ__FnCalls!F92</f>
        <v>MMM 2017</v>
      </c>
      <c r="CQ46" s="20" t="str">
        <f>ZZZ__FnCalls!F93</f>
        <v>MMM 2017</v>
      </c>
      <c r="CR46" s="20" t="str">
        <f>ZZZ__FnCalls!F94</f>
        <v>MMM 2017</v>
      </c>
      <c r="CS46" s="20" t="str">
        <f>ZZZ__FnCalls!F95</f>
        <v>MMM 2017</v>
      </c>
      <c r="CT46" s="20" t="str">
        <f>ZZZ__FnCalls!F96</f>
        <v>MMM 2017</v>
      </c>
      <c r="CU46" s="20" t="str">
        <f>ZZZ__FnCalls!F97</f>
        <v>MMM 2017</v>
      </c>
      <c r="CV46" s="20" t="str">
        <f>ZZZ__FnCalls!F98</f>
        <v>MMM 2017</v>
      </c>
      <c r="CW46" s="20" t="str">
        <f>ZZZ__FnCalls!F99</f>
        <v>MMM 2017</v>
      </c>
      <c r="CX46" s="20" t="str">
        <f>ZZZ__FnCalls!F100</f>
        <v>MMM 2017</v>
      </c>
      <c r="CY46" s="20" t="str">
        <f>ZZZ__FnCalls!F101</f>
        <v>MMM 2017</v>
      </c>
      <c r="CZ46" s="20" t="str">
        <f>ZZZ__FnCalls!F102</f>
        <v>MMM 2017</v>
      </c>
      <c r="DA46" s="21" t="str">
        <f>ZZZ__FnCalls!H91</f>
        <v>2017</v>
      </c>
      <c r="DB46" s="20" t="str">
        <f>ZZZ__FnCalls!F103</f>
        <v>MMM 2018</v>
      </c>
      <c r="DC46" s="20" t="str">
        <f>ZZZ__FnCalls!F104</f>
        <v>MMM 2018</v>
      </c>
      <c r="DD46" s="20" t="str">
        <f>ZZZ__FnCalls!F105</f>
        <v>MMM 2018</v>
      </c>
      <c r="DE46" s="20" t="str">
        <f>ZZZ__FnCalls!F106</f>
        <v>MMM 2018</v>
      </c>
      <c r="DF46" s="20" t="str">
        <f>ZZZ__FnCalls!F107</f>
        <v>MMM 2018</v>
      </c>
      <c r="DG46" s="20" t="str">
        <f>ZZZ__FnCalls!F108</f>
        <v>MMM 2018</v>
      </c>
      <c r="DH46" s="20" t="str">
        <f>ZZZ__FnCalls!F109</f>
        <v>MMM 2018</v>
      </c>
      <c r="DI46" s="20" t="str">
        <f>ZZZ__FnCalls!F110</f>
        <v>MMM 2018</v>
      </c>
      <c r="DJ46" s="20" t="str">
        <f>ZZZ__FnCalls!F111</f>
        <v>MMM 2018</v>
      </c>
      <c r="DK46" s="20" t="str">
        <f>ZZZ__FnCalls!F112</f>
        <v>MMM 2018</v>
      </c>
      <c r="DL46" s="20" t="str">
        <f>ZZZ__FnCalls!F113</f>
        <v>MMM 2018</v>
      </c>
      <c r="DM46" s="20" t="str">
        <f>ZZZ__FnCalls!F114</f>
        <v>MMM 2018</v>
      </c>
      <c r="DN46" s="21" t="str">
        <f>ZZZ__FnCalls!H103</f>
        <v>2018</v>
      </c>
      <c r="DO46" s="20" t="str">
        <f>ZZZ__FnCalls!F115</f>
        <v>MMM 2019</v>
      </c>
      <c r="DP46" s="20" t="str">
        <f>ZZZ__FnCalls!F116</f>
        <v>MMM 2019</v>
      </c>
      <c r="DQ46" s="20" t="str">
        <f>ZZZ__FnCalls!F117</f>
        <v>MMM 2019</v>
      </c>
      <c r="DR46" s="20" t="str">
        <f>ZZZ__FnCalls!F118</f>
        <v>MMM 2019</v>
      </c>
      <c r="DS46" s="20" t="str">
        <f>ZZZ__FnCalls!F119</f>
        <v>MMM 2019</v>
      </c>
      <c r="DT46" s="20" t="str">
        <f>ZZZ__FnCalls!F120</f>
        <v>MMM 2019</v>
      </c>
      <c r="DU46" s="20" t="str">
        <f>ZZZ__FnCalls!F121</f>
        <v>MMM 2019</v>
      </c>
      <c r="DV46" s="20" t="str">
        <f>ZZZ__FnCalls!F122</f>
        <v>MMM 2019</v>
      </c>
      <c r="DW46" s="20" t="str">
        <f>ZZZ__FnCalls!F123</f>
        <v>MMM 2019</v>
      </c>
      <c r="DX46" s="20" t="str">
        <f>ZZZ__FnCalls!F124</f>
        <v>MMM 2019</v>
      </c>
      <c r="DY46" s="20" t="str">
        <f>ZZZ__FnCalls!F125</f>
        <v>MMM 2019</v>
      </c>
      <c r="DZ46" s="20" t="str">
        <f>ZZZ__FnCalls!F126</f>
        <v>MMM 2019</v>
      </c>
      <c r="EA46" s="21" t="str">
        <f>ZZZ__FnCalls!H115</f>
        <v>2019</v>
      </c>
      <c r="EB46" s="20" t="str">
        <f>ZZZ__FnCalls!F127</f>
        <v>MMM 2020</v>
      </c>
      <c r="EC46" s="20" t="str">
        <f>ZZZ__FnCalls!F128</f>
        <v>MMM 2020</v>
      </c>
      <c r="ED46" s="20" t="str">
        <f>ZZZ__FnCalls!F129</f>
        <v>MMM 2020</v>
      </c>
      <c r="EE46" s="20" t="str">
        <f>ZZZ__FnCalls!F130</f>
        <v>MMM 2020</v>
      </c>
      <c r="EF46" s="20" t="str">
        <f>ZZZ__FnCalls!F131</f>
        <v>MMM 2020</v>
      </c>
      <c r="EG46" s="20" t="str">
        <f>ZZZ__FnCalls!F132</f>
        <v>MMM 2020</v>
      </c>
      <c r="EH46" s="20" t="str">
        <f>ZZZ__FnCalls!F133</f>
        <v>MMM 2020</v>
      </c>
      <c r="EI46" s="20" t="str">
        <f>ZZZ__FnCalls!F134</f>
        <v>MMM 2020</v>
      </c>
      <c r="EJ46" s="20" t="str">
        <f>ZZZ__FnCalls!F135</f>
        <v>MMM 2020</v>
      </c>
      <c r="EK46" s="20" t="str">
        <f>ZZZ__FnCalls!F136</f>
        <v>MMM 2020</v>
      </c>
      <c r="EL46" s="20" t="str">
        <f>ZZZ__FnCalls!F137</f>
        <v>MMM 2020</v>
      </c>
      <c r="EM46" s="20" t="str">
        <f>ZZZ__FnCalls!F138</f>
        <v>MMM 2020</v>
      </c>
      <c r="EN46" s="21" t="str">
        <f>ZZZ__FnCalls!H127</f>
        <v>2020</v>
      </c>
    </row>
    <row r="47" spans="1:144" ht="12.75" customHeight="1" x14ac:dyDescent="0.2">
      <c r="A47" s="5"/>
      <c r="B47" s="46" t="str">
        <f>ZZZ__FnCalls!F7</f>
        <v>MMM 2010</v>
      </c>
      <c r="C47" s="46" t="str">
        <f>ZZZ__FnCalls!F8</f>
        <v>MMM 2010</v>
      </c>
      <c r="D47" s="46" t="str">
        <f>ZZZ__FnCalls!F9</f>
        <v>MMM 2010</v>
      </c>
      <c r="E47" s="46" t="str">
        <f>ZZZ__FnCalls!F10</f>
        <v>MMM 2010</v>
      </c>
      <c r="F47" s="46" t="str">
        <f>ZZZ__FnCalls!F11</f>
        <v>MMM 2010</v>
      </c>
      <c r="G47" s="46" t="str">
        <f>ZZZ__FnCalls!F12</f>
        <v>MMM 2010</v>
      </c>
      <c r="H47" s="46" t="str">
        <f>ZZZ__FnCalls!F13</f>
        <v>MMM 2010</v>
      </c>
      <c r="I47" s="46" t="str">
        <f>ZZZ__FnCalls!F14</f>
        <v>MMM 2010</v>
      </c>
      <c r="J47" s="46" t="str">
        <f>ZZZ__FnCalls!F15</f>
        <v>MMM 2010</v>
      </c>
      <c r="K47" s="46" t="str">
        <f>ZZZ__FnCalls!F16</f>
        <v>MMM 2010</v>
      </c>
      <c r="L47" s="46" t="str">
        <f>ZZZ__FnCalls!F17</f>
        <v>MMM 2010</v>
      </c>
      <c r="M47" s="46" t="str">
        <f>ZZZ__FnCalls!F18</f>
        <v>MMM 2010</v>
      </c>
      <c r="N47" s="47" t="str">
        <f>ZZZ__FnCalls!F7</f>
        <v>MMM 2010</v>
      </c>
      <c r="O47" s="46" t="str">
        <f>ZZZ__FnCalls!F19</f>
        <v>MMM 2011</v>
      </c>
      <c r="P47" s="46" t="str">
        <f>ZZZ__FnCalls!F20</f>
        <v>MMM 2011</v>
      </c>
      <c r="Q47" s="46" t="str">
        <f>ZZZ__FnCalls!F21</f>
        <v>MMM 2011</v>
      </c>
      <c r="R47" s="46" t="str">
        <f>ZZZ__FnCalls!F22</f>
        <v>MMM 2011</v>
      </c>
      <c r="S47" s="46" t="str">
        <f>ZZZ__FnCalls!F23</f>
        <v>MMM 2011</v>
      </c>
      <c r="T47" s="46" t="str">
        <f>ZZZ__FnCalls!F24</f>
        <v>MMM 2011</v>
      </c>
      <c r="U47" s="46" t="str">
        <f>ZZZ__FnCalls!F25</f>
        <v>MMM 2011</v>
      </c>
      <c r="V47" s="46" t="str">
        <f>ZZZ__FnCalls!F26</f>
        <v>MMM 2011</v>
      </c>
      <c r="W47" s="46" t="str">
        <f>ZZZ__FnCalls!F27</f>
        <v>MMM 2011</v>
      </c>
      <c r="X47" s="46" t="str">
        <f>ZZZ__FnCalls!F28</f>
        <v>MMM 2011</v>
      </c>
      <c r="Y47" s="46" t="str">
        <f>ZZZ__FnCalls!F29</f>
        <v>MMM 2011</v>
      </c>
      <c r="Z47" s="46" t="str">
        <f>ZZZ__FnCalls!F30</f>
        <v>MMM 2011</v>
      </c>
      <c r="AA47" s="47" t="str">
        <f>ZZZ__FnCalls!F19</f>
        <v>MMM 2011</v>
      </c>
      <c r="AB47" s="46" t="str">
        <f>ZZZ__FnCalls!F31</f>
        <v>MMM 2012</v>
      </c>
      <c r="AC47" s="46" t="str">
        <f>ZZZ__FnCalls!F32</f>
        <v>MMM 2012</v>
      </c>
      <c r="AD47" s="46" t="str">
        <f>ZZZ__FnCalls!F33</f>
        <v>MMM 2012</v>
      </c>
      <c r="AE47" s="46" t="str">
        <f>ZZZ__FnCalls!F34</f>
        <v>MMM 2012</v>
      </c>
      <c r="AF47" s="46" t="str">
        <f>ZZZ__FnCalls!F35</f>
        <v>MMM 2012</v>
      </c>
      <c r="AG47" s="46" t="str">
        <f>ZZZ__FnCalls!F36</f>
        <v>MMM 2012</v>
      </c>
      <c r="AH47" s="46" t="str">
        <f>ZZZ__FnCalls!F37</f>
        <v>MMM 2012</v>
      </c>
      <c r="AI47" s="46" t="str">
        <f>ZZZ__FnCalls!F38</f>
        <v>MMM 2012</v>
      </c>
      <c r="AJ47" s="46" t="str">
        <f>ZZZ__FnCalls!F39</f>
        <v>MMM 2012</v>
      </c>
      <c r="AK47" s="46" t="str">
        <f>ZZZ__FnCalls!F40</f>
        <v>MMM 2012</v>
      </c>
      <c r="AL47" s="46" t="str">
        <f>ZZZ__FnCalls!F41</f>
        <v>MMM 2012</v>
      </c>
      <c r="AM47" s="46" t="str">
        <f>ZZZ__FnCalls!F42</f>
        <v>MMM 2012</v>
      </c>
      <c r="AN47" s="47" t="str">
        <f>ZZZ__FnCalls!F31</f>
        <v>MMM 2012</v>
      </c>
      <c r="AO47" s="46" t="str">
        <f>ZZZ__FnCalls!F43</f>
        <v>MMM 2013</v>
      </c>
      <c r="AP47" s="46" t="str">
        <f>ZZZ__FnCalls!F44</f>
        <v>MMM 2013</v>
      </c>
      <c r="AQ47" s="46" t="str">
        <f>ZZZ__FnCalls!F45</f>
        <v>MMM 2013</v>
      </c>
      <c r="AR47" s="46" t="str">
        <f>ZZZ__FnCalls!F46</f>
        <v>MMM 2013</v>
      </c>
      <c r="AS47" s="46" t="str">
        <f>ZZZ__FnCalls!F47</f>
        <v>MMM 2013</v>
      </c>
      <c r="AT47" s="46" t="str">
        <f>ZZZ__FnCalls!F48</f>
        <v>MMM 2013</v>
      </c>
      <c r="AU47" s="46" t="str">
        <f>ZZZ__FnCalls!F49</f>
        <v>MMM 2013</v>
      </c>
      <c r="AV47" s="46" t="str">
        <f>ZZZ__FnCalls!F50</f>
        <v>MMM 2013</v>
      </c>
      <c r="AW47" s="46" t="str">
        <f>ZZZ__FnCalls!F51</f>
        <v>MMM 2013</v>
      </c>
      <c r="AX47" s="46" t="str">
        <f>ZZZ__FnCalls!F52</f>
        <v>MMM 2013</v>
      </c>
      <c r="AY47" s="46" t="str">
        <f>ZZZ__FnCalls!F53</f>
        <v>MMM 2013</v>
      </c>
      <c r="AZ47" s="46" t="str">
        <f>ZZZ__FnCalls!F54</f>
        <v>MMM 2013</v>
      </c>
      <c r="BA47" s="47" t="str">
        <f>ZZZ__FnCalls!F43</f>
        <v>MMM 2013</v>
      </c>
      <c r="BB47" s="46" t="str">
        <f>ZZZ__FnCalls!F55</f>
        <v>MMM 2014</v>
      </c>
      <c r="BC47" s="46" t="str">
        <f>ZZZ__FnCalls!F56</f>
        <v>MMM 2014</v>
      </c>
      <c r="BD47" s="46" t="str">
        <f>ZZZ__FnCalls!F57</f>
        <v>MMM 2014</v>
      </c>
      <c r="BE47" s="46" t="str">
        <f>ZZZ__FnCalls!F58</f>
        <v>MMM 2014</v>
      </c>
      <c r="BF47" s="46" t="str">
        <f>ZZZ__FnCalls!F59</f>
        <v>MMM 2014</v>
      </c>
      <c r="BG47" s="46" t="str">
        <f>ZZZ__FnCalls!F60</f>
        <v>MMM 2014</v>
      </c>
      <c r="BH47" s="46" t="str">
        <f>ZZZ__FnCalls!F61</f>
        <v>MMM 2014</v>
      </c>
      <c r="BI47" s="46" t="str">
        <f>ZZZ__FnCalls!F62</f>
        <v>MMM 2014</v>
      </c>
      <c r="BJ47" s="46" t="str">
        <f>ZZZ__FnCalls!F63</f>
        <v>MMM 2014</v>
      </c>
      <c r="BK47" s="46" t="str">
        <f>ZZZ__FnCalls!F64</f>
        <v>MMM 2014</v>
      </c>
      <c r="BL47" s="46" t="str">
        <f>ZZZ__FnCalls!F65</f>
        <v>MMM 2014</v>
      </c>
      <c r="BM47" s="46" t="str">
        <f>ZZZ__FnCalls!F66</f>
        <v>MMM 2014</v>
      </c>
      <c r="BN47" s="47" t="str">
        <f>ZZZ__FnCalls!F55</f>
        <v>MMM 2014</v>
      </c>
      <c r="BO47" s="46" t="str">
        <f>ZZZ__FnCalls!F67</f>
        <v>MMM 2015</v>
      </c>
      <c r="BP47" s="46" t="str">
        <f>ZZZ__FnCalls!F68</f>
        <v>MMM 2015</v>
      </c>
      <c r="BQ47" s="46" t="str">
        <f>ZZZ__FnCalls!F69</f>
        <v>MMM 2015</v>
      </c>
      <c r="BR47" s="46" t="str">
        <f>ZZZ__FnCalls!F70</f>
        <v>MMM 2015</v>
      </c>
      <c r="BS47" s="46" t="str">
        <f>ZZZ__FnCalls!F71</f>
        <v>MMM 2015</v>
      </c>
      <c r="BT47" s="46" t="str">
        <f>ZZZ__FnCalls!F72</f>
        <v>MMM 2015</v>
      </c>
      <c r="BU47" s="46" t="str">
        <f>ZZZ__FnCalls!F73</f>
        <v>MMM 2015</v>
      </c>
      <c r="BV47" s="46" t="str">
        <f>ZZZ__FnCalls!F74</f>
        <v>MMM 2015</v>
      </c>
      <c r="BW47" s="46" t="str">
        <f>ZZZ__FnCalls!F75</f>
        <v>MMM 2015</v>
      </c>
      <c r="BX47" s="46" t="str">
        <f>ZZZ__FnCalls!F76</f>
        <v>MMM 2015</v>
      </c>
      <c r="BY47" s="46" t="str">
        <f>ZZZ__FnCalls!F77</f>
        <v>MMM 2015</v>
      </c>
      <c r="BZ47" s="46" t="str">
        <f>ZZZ__FnCalls!F78</f>
        <v>MMM 2015</v>
      </c>
      <c r="CA47" s="47" t="str">
        <f>ZZZ__FnCalls!F67</f>
        <v>MMM 2015</v>
      </c>
      <c r="CB47" s="46" t="str">
        <f>ZZZ__FnCalls!F79</f>
        <v>MMM 2016</v>
      </c>
      <c r="CC47" s="46" t="str">
        <f>ZZZ__FnCalls!F80</f>
        <v>MMM 2016</v>
      </c>
      <c r="CD47" s="46" t="str">
        <f>ZZZ__FnCalls!F81</f>
        <v>MMM 2016</v>
      </c>
      <c r="CE47" s="46" t="str">
        <f>ZZZ__FnCalls!F82</f>
        <v>MMM 2016</v>
      </c>
      <c r="CF47" s="46" t="str">
        <f>ZZZ__FnCalls!F83</f>
        <v>MMM 2016</v>
      </c>
      <c r="CG47" s="46" t="str">
        <f>ZZZ__FnCalls!F84</f>
        <v>MMM 2016</v>
      </c>
      <c r="CH47" s="46" t="str">
        <f>ZZZ__FnCalls!F85</f>
        <v>MMM 2016</v>
      </c>
      <c r="CI47" s="46" t="str">
        <f>ZZZ__FnCalls!F86</f>
        <v>MMM 2016</v>
      </c>
      <c r="CJ47" s="46" t="str">
        <f>ZZZ__FnCalls!F87</f>
        <v>MMM 2016</v>
      </c>
      <c r="CK47" s="46" t="str">
        <f>ZZZ__FnCalls!F88</f>
        <v>MMM 2016</v>
      </c>
      <c r="CL47" s="46" t="str">
        <f>ZZZ__FnCalls!F89</f>
        <v>MMM 2016</v>
      </c>
      <c r="CM47" s="46" t="str">
        <f>ZZZ__FnCalls!F90</f>
        <v>MMM 2016</v>
      </c>
      <c r="CN47" s="47" t="str">
        <f>ZZZ__FnCalls!F79</f>
        <v>MMM 2016</v>
      </c>
      <c r="CO47" s="46" t="str">
        <f>ZZZ__FnCalls!F91</f>
        <v>MMM 2017</v>
      </c>
      <c r="CP47" s="46" t="str">
        <f>ZZZ__FnCalls!F92</f>
        <v>MMM 2017</v>
      </c>
      <c r="CQ47" s="46" t="str">
        <f>ZZZ__FnCalls!F93</f>
        <v>MMM 2017</v>
      </c>
      <c r="CR47" s="46" t="str">
        <f>ZZZ__FnCalls!F94</f>
        <v>MMM 2017</v>
      </c>
      <c r="CS47" s="46" t="str">
        <f>ZZZ__FnCalls!F95</f>
        <v>MMM 2017</v>
      </c>
      <c r="CT47" s="46" t="str">
        <f>ZZZ__FnCalls!F96</f>
        <v>MMM 2017</v>
      </c>
      <c r="CU47" s="46" t="str">
        <f>ZZZ__FnCalls!F97</f>
        <v>MMM 2017</v>
      </c>
      <c r="CV47" s="46" t="str">
        <f>ZZZ__FnCalls!F98</f>
        <v>MMM 2017</v>
      </c>
      <c r="CW47" s="46" t="str">
        <f>ZZZ__FnCalls!F99</f>
        <v>MMM 2017</v>
      </c>
      <c r="CX47" s="46" t="str">
        <f>ZZZ__FnCalls!F100</f>
        <v>MMM 2017</v>
      </c>
      <c r="CY47" s="46" t="str">
        <f>ZZZ__FnCalls!F101</f>
        <v>MMM 2017</v>
      </c>
      <c r="CZ47" s="46" t="str">
        <f>ZZZ__FnCalls!F102</f>
        <v>MMM 2017</v>
      </c>
      <c r="DA47" s="47" t="str">
        <f>ZZZ__FnCalls!F91</f>
        <v>MMM 2017</v>
      </c>
      <c r="DB47" s="46" t="str">
        <f>ZZZ__FnCalls!F103</f>
        <v>MMM 2018</v>
      </c>
      <c r="DC47" s="46" t="str">
        <f>ZZZ__FnCalls!F104</f>
        <v>MMM 2018</v>
      </c>
      <c r="DD47" s="46" t="str">
        <f>ZZZ__FnCalls!F105</f>
        <v>MMM 2018</v>
      </c>
      <c r="DE47" s="46" t="str">
        <f>ZZZ__FnCalls!F106</f>
        <v>MMM 2018</v>
      </c>
      <c r="DF47" s="46" t="str">
        <f>ZZZ__FnCalls!F107</f>
        <v>MMM 2018</v>
      </c>
      <c r="DG47" s="46" t="str">
        <f>ZZZ__FnCalls!F108</f>
        <v>MMM 2018</v>
      </c>
      <c r="DH47" s="46" t="str">
        <f>ZZZ__FnCalls!F109</f>
        <v>MMM 2018</v>
      </c>
      <c r="DI47" s="46" t="str">
        <f>ZZZ__FnCalls!F110</f>
        <v>MMM 2018</v>
      </c>
      <c r="DJ47" s="46" t="str">
        <f>ZZZ__FnCalls!F111</f>
        <v>MMM 2018</v>
      </c>
      <c r="DK47" s="46" t="str">
        <f>ZZZ__FnCalls!F112</f>
        <v>MMM 2018</v>
      </c>
      <c r="DL47" s="46" t="str">
        <f>ZZZ__FnCalls!F113</f>
        <v>MMM 2018</v>
      </c>
      <c r="DM47" s="46" t="str">
        <f>ZZZ__FnCalls!F114</f>
        <v>MMM 2018</v>
      </c>
      <c r="DN47" s="47" t="str">
        <f>ZZZ__FnCalls!F103</f>
        <v>MMM 2018</v>
      </c>
      <c r="DO47" s="46" t="str">
        <f>ZZZ__FnCalls!F115</f>
        <v>MMM 2019</v>
      </c>
      <c r="DP47" s="46" t="str">
        <f>ZZZ__FnCalls!F116</f>
        <v>MMM 2019</v>
      </c>
      <c r="DQ47" s="46" t="str">
        <f>ZZZ__FnCalls!F117</f>
        <v>MMM 2019</v>
      </c>
      <c r="DR47" s="46" t="str">
        <f>ZZZ__FnCalls!F118</f>
        <v>MMM 2019</v>
      </c>
      <c r="DS47" s="46" t="str">
        <f>ZZZ__FnCalls!F119</f>
        <v>MMM 2019</v>
      </c>
      <c r="DT47" s="46" t="str">
        <f>ZZZ__FnCalls!F120</f>
        <v>MMM 2019</v>
      </c>
      <c r="DU47" s="46" t="str">
        <f>ZZZ__FnCalls!F121</f>
        <v>MMM 2019</v>
      </c>
      <c r="DV47" s="46" t="str">
        <f>ZZZ__FnCalls!F122</f>
        <v>MMM 2019</v>
      </c>
      <c r="DW47" s="46" t="str">
        <f>ZZZ__FnCalls!F123</f>
        <v>MMM 2019</v>
      </c>
      <c r="DX47" s="46" t="str">
        <f>ZZZ__FnCalls!F124</f>
        <v>MMM 2019</v>
      </c>
      <c r="DY47" s="46" t="str">
        <f>ZZZ__FnCalls!F125</f>
        <v>MMM 2019</v>
      </c>
      <c r="DZ47" s="46" t="str">
        <f>ZZZ__FnCalls!F126</f>
        <v>MMM 2019</v>
      </c>
      <c r="EA47" s="47" t="str">
        <f>ZZZ__FnCalls!F115</f>
        <v>MMM 2019</v>
      </c>
      <c r="EB47" s="46" t="str">
        <f>ZZZ__FnCalls!F127</f>
        <v>MMM 2020</v>
      </c>
      <c r="EC47" s="46" t="str">
        <f>ZZZ__FnCalls!F128</f>
        <v>MMM 2020</v>
      </c>
      <c r="ED47" s="46" t="str">
        <f>ZZZ__FnCalls!F129</f>
        <v>MMM 2020</v>
      </c>
      <c r="EE47" s="46" t="str">
        <f>ZZZ__FnCalls!F130</f>
        <v>MMM 2020</v>
      </c>
      <c r="EF47" s="46" t="str">
        <f>ZZZ__FnCalls!F131</f>
        <v>MMM 2020</v>
      </c>
      <c r="EG47" s="46" t="str">
        <f>ZZZ__FnCalls!F132</f>
        <v>MMM 2020</v>
      </c>
      <c r="EH47" s="46" t="str">
        <f>ZZZ__FnCalls!F133</f>
        <v>MMM 2020</v>
      </c>
      <c r="EI47" s="46" t="str">
        <f>ZZZ__FnCalls!F134</f>
        <v>MMM 2020</v>
      </c>
      <c r="EJ47" s="46" t="str">
        <f>ZZZ__FnCalls!F135</f>
        <v>MMM 2020</v>
      </c>
      <c r="EK47" s="46" t="str">
        <f>ZZZ__FnCalls!F136</f>
        <v>MMM 2020</v>
      </c>
      <c r="EL47" s="46" t="str">
        <f>ZZZ__FnCalls!F137</f>
        <v>MMM 2020</v>
      </c>
      <c r="EM47" s="46" t="str">
        <f>ZZZ__FnCalls!F138</f>
        <v>MMM 2020</v>
      </c>
      <c r="EN47" s="47" t="str">
        <f>ZZZ__FnCalls!F127</f>
        <v>MMM 2020</v>
      </c>
    </row>
    <row r="48" spans="1:144" ht="12.75" customHeight="1" x14ac:dyDescent="0.2">
      <c r="A48" s="2" t="str">
        <f>"Employment_1"</f>
        <v>Employment_1</v>
      </c>
    </row>
    <row r="49" spans="1:144" ht="12.75" customHeight="1" x14ac:dyDescent="0.2">
      <c r="B49" s="19" t="str">
        <f>ZZZ__FnCalls!F7</f>
        <v>MMM 2010</v>
      </c>
      <c r="C49" s="20" t="str">
        <f>ZZZ__FnCalls!F8</f>
        <v>MMM 2010</v>
      </c>
      <c r="D49" s="20" t="str">
        <f>ZZZ__FnCalls!F9</f>
        <v>MMM 2010</v>
      </c>
      <c r="E49" s="20" t="str">
        <f>ZZZ__FnCalls!F10</f>
        <v>MMM 2010</v>
      </c>
      <c r="F49" s="20" t="str">
        <f>ZZZ__FnCalls!F11</f>
        <v>MMM 2010</v>
      </c>
      <c r="G49" s="20" t="str">
        <f>ZZZ__FnCalls!F12</f>
        <v>MMM 2010</v>
      </c>
      <c r="H49" s="20" t="str">
        <f>ZZZ__FnCalls!F13</f>
        <v>MMM 2010</v>
      </c>
      <c r="I49" s="20" t="str">
        <f>ZZZ__FnCalls!F14</f>
        <v>MMM 2010</v>
      </c>
      <c r="J49" s="20" t="str">
        <f>ZZZ__FnCalls!F15</f>
        <v>MMM 2010</v>
      </c>
      <c r="K49" s="20" t="str">
        <f>ZZZ__FnCalls!F16</f>
        <v>MMM 2010</v>
      </c>
      <c r="L49" s="20" t="str">
        <f>ZZZ__FnCalls!F17</f>
        <v>MMM 2010</v>
      </c>
      <c r="M49" s="20" t="str">
        <f>ZZZ__FnCalls!F18</f>
        <v>MMM 2010</v>
      </c>
      <c r="N49" s="21" t="str">
        <f>ZZZ__FnCalls!H7</f>
        <v>2010</v>
      </c>
      <c r="O49" s="20" t="str">
        <f>ZZZ__FnCalls!F19</f>
        <v>MMM 2011</v>
      </c>
      <c r="P49" s="20" t="str">
        <f>ZZZ__FnCalls!F20</f>
        <v>MMM 2011</v>
      </c>
      <c r="Q49" s="20" t="str">
        <f>ZZZ__FnCalls!F21</f>
        <v>MMM 2011</v>
      </c>
      <c r="R49" s="20" t="str">
        <f>ZZZ__FnCalls!F22</f>
        <v>MMM 2011</v>
      </c>
      <c r="S49" s="20" t="str">
        <f>ZZZ__FnCalls!F23</f>
        <v>MMM 2011</v>
      </c>
      <c r="T49" s="20" t="str">
        <f>ZZZ__FnCalls!F24</f>
        <v>MMM 2011</v>
      </c>
      <c r="U49" s="20" t="str">
        <f>ZZZ__FnCalls!F25</f>
        <v>MMM 2011</v>
      </c>
      <c r="V49" s="20" t="str">
        <f>ZZZ__FnCalls!F26</f>
        <v>MMM 2011</v>
      </c>
      <c r="W49" s="20" t="str">
        <f>ZZZ__FnCalls!F27</f>
        <v>MMM 2011</v>
      </c>
      <c r="X49" s="20" t="str">
        <f>ZZZ__FnCalls!F28</f>
        <v>MMM 2011</v>
      </c>
      <c r="Y49" s="20" t="str">
        <f>ZZZ__FnCalls!F29</f>
        <v>MMM 2011</v>
      </c>
      <c r="Z49" s="20" t="str">
        <f>ZZZ__FnCalls!F30</f>
        <v>MMM 2011</v>
      </c>
      <c r="AA49" s="21" t="str">
        <f>ZZZ__FnCalls!H19</f>
        <v>2011</v>
      </c>
      <c r="AB49" s="20" t="str">
        <f>ZZZ__FnCalls!F31</f>
        <v>MMM 2012</v>
      </c>
      <c r="AC49" s="20" t="str">
        <f>ZZZ__FnCalls!F32</f>
        <v>MMM 2012</v>
      </c>
      <c r="AD49" s="20" t="str">
        <f>ZZZ__FnCalls!F33</f>
        <v>MMM 2012</v>
      </c>
      <c r="AE49" s="20" t="str">
        <f>ZZZ__FnCalls!F34</f>
        <v>MMM 2012</v>
      </c>
      <c r="AF49" s="20" t="str">
        <f>ZZZ__FnCalls!F35</f>
        <v>MMM 2012</v>
      </c>
      <c r="AG49" s="20" t="str">
        <f>ZZZ__FnCalls!F36</f>
        <v>MMM 2012</v>
      </c>
      <c r="AH49" s="20" t="str">
        <f>ZZZ__FnCalls!F37</f>
        <v>MMM 2012</v>
      </c>
      <c r="AI49" s="20" t="str">
        <f>ZZZ__FnCalls!F38</f>
        <v>MMM 2012</v>
      </c>
      <c r="AJ49" s="20" t="str">
        <f>ZZZ__FnCalls!F39</f>
        <v>MMM 2012</v>
      </c>
      <c r="AK49" s="20" t="str">
        <f>ZZZ__FnCalls!F40</f>
        <v>MMM 2012</v>
      </c>
      <c r="AL49" s="20" t="str">
        <f>ZZZ__FnCalls!F41</f>
        <v>MMM 2012</v>
      </c>
      <c r="AM49" s="20" t="str">
        <f>ZZZ__FnCalls!F42</f>
        <v>MMM 2012</v>
      </c>
      <c r="AN49" s="21" t="str">
        <f>ZZZ__FnCalls!H31</f>
        <v>2012</v>
      </c>
      <c r="AO49" s="20" t="str">
        <f>ZZZ__FnCalls!F43</f>
        <v>MMM 2013</v>
      </c>
      <c r="AP49" s="20" t="str">
        <f>ZZZ__FnCalls!F44</f>
        <v>MMM 2013</v>
      </c>
      <c r="AQ49" s="20" t="str">
        <f>ZZZ__FnCalls!F45</f>
        <v>MMM 2013</v>
      </c>
      <c r="AR49" s="20" t="str">
        <f>ZZZ__FnCalls!F46</f>
        <v>MMM 2013</v>
      </c>
      <c r="AS49" s="20" t="str">
        <f>ZZZ__FnCalls!F47</f>
        <v>MMM 2013</v>
      </c>
      <c r="AT49" s="20" t="str">
        <f>ZZZ__FnCalls!F48</f>
        <v>MMM 2013</v>
      </c>
      <c r="AU49" s="20" t="str">
        <f>ZZZ__FnCalls!F49</f>
        <v>MMM 2013</v>
      </c>
      <c r="AV49" s="20" t="str">
        <f>ZZZ__FnCalls!F50</f>
        <v>MMM 2013</v>
      </c>
      <c r="AW49" s="20" t="str">
        <f>ZZZ__FnCalls!F51</f>
        <v>MMM 2013</v>
      </c>
      <c r="AX49" s="20" t="str">
        <f>ZZZ__FnCalls!F52</f>
        <v>MMM 2013</v>
      </c>
      <c r="AY49" s="20" t="str">
        <f>ZZZ__FnCalls!F53</f>
        <v>MMM 2013</v>
      </c>
      <c r="AZ49" s="20" t="str">
        <f>ZZZ__FnCalls!F54</f>
        <v>MMM 2013</v>
      </c>
      <c r="BA49" s="21" t="str">
        <f>ZZZ__FnCalls!H43</f>
        <v>2013</v>
      </c>
      <c r="BB49" s="20" t="str">
        <f>ZZZ__FnCalls!F55</f>
        <v>MMM 2014</v>
      </c>
      <c r="BC49" s="20" t="str">
        <f>ZZZ__FnCalls!F56</f>
        <v>MMM 2014</v>
      </c>
      <c r="BD49" s="20" t="str">
        <f>ZZZ__FnCalls!F57</f>
        <v>MMM 2014</v>
      </c>
      <c r="BE49" s="20" t="str">
        <f>ZZZ__FnCalls!F58</f>
        <v>MMM 2014</v>
      </c>
      <c r="BF49" s="20" t="str">
        <f>ZZZ__FnCalls!F59</f>
        <v>MMM 2014</v>
      </c>
      <c r="BG49" s="20" t="str">
        <f>ZZZ__FnCalls!F60</f>
        <v>MMM 2014</v>
      </c>
      <c r="BH49" s="20" t="str">
        <f>ZZZ__FnCalls!F61</f>
        <v>MMM 2014</v>
      </c>
      <c r="BI49" s="20" t="str">
        <f>ZZZ__FnCalls!F62</f>
        <v>MMM 2014</v>
      </c>
      <c r="BJ49" s="20" t="str">
        <f>ZZZ__FnCalls!F63</f>
        <v>MMM 2014</v>
      </c>
      <c r="BK49" s="20" t="str">
        <f>ZZZ__FnCalls!F64</f>
        <v>MMM 2014</v>
      </c>
      <c r="BL49" s="20" t="str">
        <f>ZZZ__FnCalls!F65</f>
        <v>MMM 2014</v>
      </c>
      <c r="BM49" s="20" t="str">
        <f>ZZZ__FnCalls!F66</f>
        <v>MMM 2014</v>
      </c>
      <c r="BN49" s="21" t="str">
        <f>ZZZ__FnCalls!H55</f>
        <v>2014</v>
      </c>
      <c r="BO49" s="20" t="str">
        <f>ZZZ__FnCalls!F67</f>
        <v>MMM 2015</v>
      </c>
      <c r="BP49" s="20" t="str">
        <f>ZZZ__FnCalls!F68</f>
        <v>MMM 2015</v>
      </c>
      <c r="BQ49" s="20" t="str">
        <f>ZZZ__FnCalls!F69</f>
        <v>MMM 2015</v>
      </c>
      <c r="BR49" s="20" t="str">
        <f>ZZZ__FnCalls!F70</f>
        <v>MMM 2015</v>
      </c>
      <c r="BS49" s="20" t="str">
        <f>ZZZ__FnCalls!F71</f>
        <v>MMM 2015</v>
      </c>
      <c r="BT49" s="20" t="str">
        <f>ZZZ__FnCalls!F72</f>
        <v>MMM 2015</v>
      </c>
      <c r="BU49" s="20" t="str">
        <f>ZZZ__FnCalls!F73</f>
        <v>MMM 2015</v>
      </c>
      <c r="BV49" s="20" t="str">
        <f>ZZZ__FnCalls!F74</f>
        <v>MMM 2015</v>
      </c>
      <c r="BW49" s="20" t="str">
        <f>ZZZ__FnCalls!F75</f>
        <v>MMM 2015</v>
      </c>
      <c r="BX49" s="20" t="str">
        <f>ZZZ__FnCalls!F76</f>
        <v>MMM 2015</v>
      </c>
      <c r="BY49" s="20" t="str">
        <f>ZZZ__FnCalls!F77</f>
        <v>MMM 2015</v>
      </c>
      <c r="BZ49" s="20" t="str">
        <f>ZZZ__FnCalls!F78</f>
        <v>MMM 2015</v>
      </c>
      <c r="CA49" s="21" t="str">
        <f>ZZZ__FnCalls!H67</f>
        <v>2015</v>
      </c>
      <c r="CB49" s="20" t="str">
        <f>ZZZ__FnCalls!F79</f>
        <v>MMM 2016</v>
      </c>
      <c r="CC49" s="20" t="str">
        <f>ZZZ__FnCalls!F80</f>
        <v>MMM 2016</v>
      </c>
      <c r="CD49" s="20" t="str">
        <f>ZZZ__FnCalls!F81</f>
        <v>MMM 2016</v>
      </c>
      <c r="CE49" s="20" t="str">
        <f>ZZZ__FnCalls!F82</f>
        <v>MMM 2016</v>
      </c>
      <c r="CF49" s="20" t="str">
        <f>ZZZ__FnCalls!F83</f>
        <v>MMM 2016</v>
      </c>
      <c r="CG49" s="20" t="str">
        <f>ZZZ__FnCalls!F84</f>
        <v>MMM 2016</v>
      </c>
      <c r="CH49" s="20" t="str">
        <f>ZZZ__FnCalls!F85</f>
        <v>MMM 2016</v>
      </c>
      <c r="CI49" s="20" t="str">
        <f>ZZZ__FnCalls!F86</f>
        <v>MMM 2016</v>
      </c>
      <c r="CJ49" s="20" t="str">
        <f>ZZZ__FnCalls!F87</f>
        <v>MMM 2016</v>
      </c>
      <c r="CK49" s="20" t="str">
        <f>ZZZ__FnCalls!F88</f>
        <v>MMM 2016</v>
      </c>
      <c r="CL49" s="20" t="str">
        <f>ZZZ__FnCalls!F89</f>
        <v>MMM 2016</v>
      </c>
      <c r="CM49" s="20" t="str">
        <f>ZZZ__FnCalls!F90</f>
        <v>MMM 2016</v>
      </c>
      <c r="CN49" s="21" t="str">
        <f>ZZZ__FnCalls!H79</f>
        <v>2016</v>
      </c>
      <c r="CO49" s="20" t="str">
        <f>ZZZ__FnCalls!F91</f>
        <v>MMM 2017</v>
      </c>
      <c r="CP49" s="20" t="str">
        <f>ZZZ__FnCalls!F92</f>
        <v>MMM 2017</v>
      </c>
      <c r="CQ49" s="20" t="str">
        <f>ZZZ__FnCalls!F93</f>
        <v>MMM 2017</v>
      </c>
      <c r="CR49" s="20" t="str">
        <f>ZZZ__FnCalls!F94</f>
        <v>MMM 2017</v>
      </c>
      <c r="CS49" s="20" t="str">
        <f>ZZZ__FnCalls!F95</f>
        <v>MMM 2017</v>
      </c>
      <c r="CT49" s="20" t="str">
        <f>ZZZ__FnCalls!F96</f>
        <v>MMM 2017</v>
      </c>
      <c r="CU49" s="20" t="str">
        <f>ZZZ__FnCalls!F97</f>
        <v>MMM 2017</v>
      </c>
      <c r="CV49" s="20" t="str">
        <f>ZZZ__FnCalls!F98</f>
        <v>MMM 2017</v>
      </c>
      <c r="CW49" s="20" t="str">
        <f>ZZZ__FnCalls!F99</f>
        <v>MMM 2017</v>
      </c>
      <c r="CX49" s="20" t="str">
        <f>ZZZ__FnCalls!F100</f>
        <v>MMM 2017</v>
      </c>
      <c r="CY49" s="20" t="str">
        <f>ZZZ__FnCalls!F101</f>
        <v>MMM 2017</v>
      </c>
      <c r="CZ49" s="20" t="str">
        <f>ZZZ__FnCalls!F102</f>
        <v>MMM 2017</v>
      </c>
      <c r="DA49" s="21" t="str">
        <f>ZZZ__FnCalls!H91</f>
        <v>2017</v>
      </c>
      <c r="DB49" s="20" t="str">
        <f>ZZZ__FnCalls!F103</f>
        <v>MMM 2018</v>
      </c>
      <c r="DC49" s="20" t="str">
        <f>ZZZ__FnCalls!F104</f>
        <v>MMM 2018</v>
      </c>
      <c r="DD49" s="20" t="str">
        <f>ZZZ__FnCalls!F105</f>
        <v>MMM 2018</v>
      </c>
      <c r="DE49" s="20" t="str">
        <f>ZZZ__FnCalls!F106</f>
        <v>MMM 2018</v>
      </c>
      <c r="DF49" s="20" t="str">
        <f>ZZZ__FnCalls!F107</f>
        <v>MMM 2018</v>
      </c>
      <c r="DG49" s="20" t="str">
        <f>ZZZ__FnCalls!F108</f>
        <v>MMM 2018</v>
      </c>
      <c r="DH49" s="20" t="str">
        <f>ZZZ__FnCalls!F109</f>
        <v>MMM 2018</v>
      </c>
      <c r="DI49" s="20" t="str">
        <f>ZZZ__FnCalls!F110</f>
        <v>MMM 2018</v>
      </c>
      <c r="DJ49" s="20" t="str">
        <f>ZZZ__FnCalls!F111</f>
        <v>MMM 2018</v>
      </c>
      <c r="DK49" s="20" t="str">
        <f>ZZZ__FnCalls!F112</f>
        <v>MMM 2018</v>
      </c>
      <c r="DL49" s="20" t="str">
        <f>ZZZ__FnCalls!F113</f>
        <v>MMM 2018</v>
      </c>
      <c r="DM49" s="20" t="str">
        <f>ZZZ__FnCalls!F114</f>
        <v>MMM 2018</v>
      </c>
      <c r="DN49" s="21" t="str">
        <f>ZZZ__FnCalls!H103</f>
        <v>2018</v>
      </c>
      <c r="DO49" s="20" t="str">
        <f>ZZZ__FnCalls!F115</f>
        <v>MMM 2019</v>
      </c>
      <c r="DP49" s="20" t="str">
        <f>ZZZ__FnCalls!F116</f>
        <v>MMM 2019</v>
      </c>
      <c r="DQ49" s="20" t="str">
        <f>ZZZ__FnCalls!F117</f>
        <v>MMM 2019</v>
      </c>
      <c r="DR49" s="20" t="str">
        <f>ZZZ__FnCalls!F118</f>
        <v>MMM 2019</v>
      </c>
      <c r="DS49" s="20" t="str">
        <f>ZZZ__FnCalls!F119</f>
        <v>MMM 2019</v>
      </c>
      <c r="DT49" s="20" t="str">
        <f>ZZZ__FnCalls!F120</f>
        <v>MMM 2019</v>
      </c>
      <c r="DU49" s="20" t="str">
        <f>ZZZ__FnCalls!F121</f>
        <v>MMM 2019</v>
      </c>
      <c r="DV49" s="20" t="str">
        <f>ZZZ__FnCalls!F122</f>
        <v>MMM 2019</v>
      </c>
      <c r="DW49" s="20" t="str">
        <f>ZZZ__FnCalls!F123</f>
        <v>MMM 2019</v>
      </c>
      <c r="DX49" s="20" t="str">
        <f>ZZZ__FnCalls!F124</f>
        <v>MMM 2019</v>
      </c>
      <c r="DY49" s="20" t="str">
        <f>ZZZ__FnCalls!F125</f>
        <v>MMM 2019</v>
      </c>
      <c r="DZ49" s="20" t="str">
        <f>ZZZ__FnCalls!F126</f>
        <v>MMM 2019</v>
      </c>
      <c r="EA49" s="21" t="str">
        <f>ZZZ__FnCalls!H115</f>
        <v>2019</v>
      </c>
      <c r="EB49" s="20" t="str">
        <f>ZZZ__FnCalls!F127</f>
        <v>MMM 2020</v>
      </c>
      <c r="EC49" s="20" t="str">
        <f>ZZZ__FnCalls!F128</f>
        <v>MMM 2020</v>
      </c>
      <c r="ED49" s="20" t="str">
        <f>ZZZ__FnCalls!F129</f>
        <v>MMM 2020</v>
      </c>
      <c r="EE49" s="20" t="str">
        <f>ZZZ__FnCalls!F130</f>
        <v>MMM 2020</v>
      </c>
      <c r="EF49" s="20" t="str">
        <f>ZZZ__FnCalls!F131</f>
        <v>MMM 2020</v>
      </c>
      <c r="EG49" s="20" t="str">
        <f>ZZZ__FnCalls!F132</f>
        <v>MMM 2020</v>
      </c>
      <c r="EH49" s="20" t="str">
        <f>ZZZ__FnCalls!F133</f>
        <v>MMM 2020</v>
      </c>
      <c r="EI49" s="20" t="str">
        <f>ZZZ__FnCalls!F134</f>
        <v>MMM 2020</v>
      </c>
      <c r="EJ49" s="20" t="str">
        <f>ZZZ__FnCalls!F135</f>
        <v>MMM 2020</v>
      </c>
      <c r="EK49" s="20" t="str">
        <f>ZZZ__FnCalls!F136</f>
        <v>MMM 2020</v>
      </c>
      <c r="EL49" s="20" t="str">
        <f>ZZZ__FnCalls!F137</f>
        <v>MMM 2020</v>
      </c>
      <c r="EM49" s="20" t="str">
        <f>ZZZ__FnCalls!F138</f>
        <v>MMM 2020</v>
      </c>
      <c r="EN49" s="21" t="str">
        <f>ZZZ__FnCalls!H127</f>
        <v>2020</v>
      </c>
    </row>
    <row r="50" spans="1:144" ht="12.75" customHeight="1" x14ac:dyDescent="0.2">
      <c r="A50" s="5"/>
      <c r="B50" s="46">
        <f>ZZZ__FnCalls!A7</f>
        <v>40179</v>
      </c>
      <c r="C50" s="46">
        <f>ZZZ__FnCalls!A8</f>
        <v>40210</v>
      </c>
      <c r="D50" s="46">
        <f>ZZZ__FnCalls!A9</f>
        <v>40238</v>
      </c>
      <c r="E50" s="46">
        <f>ZZZ__FnCalls!A10</f>
        <v>40269</v>
      </c>
      <c r="F50" s="46">
        <f>ZZZ__FnCalls!A11</f>
        <v>40299</v>
      </c>
      <c r="G50" s="46">
        <f>ZZZ__FnCalls!A12</f>
        <v>40330</v>
      </c>
      <c r="H50" s="46">
        <f>ZZZ__FnCalls!A13</f>
        <v>40360</v>
      </c>
      <c r="I50" s="46">
        <f>ZZZ__FnCalls!A14</f>
        <v>40391</v>
      </c>
      <c r="J50" s="46">
        <f>ZZZ__FnCalls!A15</f>
        <v>40422</v>
      </c>
      <c r="K50" s="46">
        <f>ZZZ__FnCalls!A16</f>
        <v>40452</v>
      </c>
      <c r="L50" s="46">
        <f>ZZZ__FnCalls!A17</f>
        <v>40483</v>
      </c>
      <c r="M50" s="46">
        <f>ZZZ__FnCalls!A18</f>
        <v>40513</v>
      </c>
      <c r="N50" s="47">
        <f>ZZZ__FnCalls!A7</f>
        <v>40179</v>
      </c>
      <c r="O50" s="46">
        <f>ZZZ__FnCalls!A19</f>
        <v>40544</v>
      </c>
      <c r="P50" s="46">
        <f>ZZZ__FnCalls!A20</f>
        <v>40575</v>
      </c>
      <c r="Q50" s="46">
        <f>ZZZ__FnCalls!A21</f>
        <v>40603</v>
      </c>
      <c r="R50" s="46">
        <f>ZZZ__FnCalls!A22</f>
        <v>40634</v>
      </c>
      <c r="S50" s="46">
        <f>ZZZ__FnCalls!A23</f>
        <v>40664</v>
      </c>
      <c r="T50" s="46">
        <f>ZZZ__FnCalls!A24</f>
        <v>40695</v>
      </c>
      <c r="U50" s="46">
        <f>ZZZ__FnCalls!A25</f>
        <v>40725</v>
      </c>
      <c r="V50" s="46">
        <f>ZZZ__FnCalls!A26</f>
        <v>40756</v>
      </c>
      <c r="W50" s="46">
        <f>ZZZ__FnCalls!A27</f>
        <v>40787</v>
      </c>
      <c r="X50" s="46">
        <f>ZZZ__FnCalls!A28</f>
        <v>40817</v>
      </c>
      <c r="Y50" s="46">
        <f>ZZZ__FnCalls!A29</f>
        <v>40848</v>
      </c>
      <c r="Z50" s="46">
        <f>ZZZ__FnCalls!A30</f>
        <v>40878</v>
      </c>
      <c r="AA50" s="47">
        <f>ZZZ__FnCalls!A19</f>
        <v>40544</v>
      </c>
      <c r="AB50" s="46">
        <f>ZZZ__FnCalls!A31</f>
        <v>40909</v>
      </c>
      <c r="AC50" s="46">
        <f>ZZZ__FnCalls!A32</f>
        <v>40940</v>
      </c>
      <c r="AD50" s="46">
        <f>ZZZ__FnCalls!A33</f>
        <v>40969</v>
      </c>
      <c r="AE50" s="46">
        <f>ZZZ__FnCalls!A34</f>
        <v>41000</v>
      </c>
      <c r="AF50" s="46">
        <f>ZZZ__FnCalls!A35</f>
        <v>41030</v>
      </c>
      <c r="AG50" s="46">
        <f>ZZZ__FnCalls!A36</f>
        <v>41061</v>
      </c>
      <c r="AH50" s="46">
        <f>ZZZ__FnCalls!A37</f>
        <v>41091</v>
      </c>
      <c r="AI50" s="46">
        <f>ZZZ__FnCalls!A38</f>
        <v>41122</v>
      </c>
      <c r="AJ50" s="46">
        <f>ZZZ__FnCalls!A39</f>
        <v>41153</v>
      </c>
      <c r="AK50" s="46">
        <f>ZZZ__FnCalls!A40</f>
        <v>41183</v>
      </c>
      <c r="AL50" s="46">
        <f>ZZZ__FnCalls!A41</f>
        <v>41214</v>
      </c>
      <c r="AM50" s="46">
        <f>ZZZ__FnCalls!A42</f>
        <v>41244</v>
      </c>
      <c r="AN50" s="47">
        <f>ZZZ__FnCalls!A31</f>
        <v>40909</v>
      </c>
      <c r="AO50" s="46">
        <f>ZZZ__FnCalls!A43</f>
        <v>41275</v>
      </c>
      <c r="AP50" s="46">
        <f>ZZZ__FnCalls!A44</f>
        <v>41306</v>
      </c>
      <c r="AQ50" s="46">
        <f>ZZZ__FnCalls!A45</f>
        <v>41334</v>
      </c>
      <c r="AR50" s="46">
        <f>ZZZ__FnCalls!A46</f>
        <v>41365</v>
      </c>
      <c r="AS50" s="46">
        <f>ZZZ__FnCalls!A47</f>
        <v>41395</v>
      </c>
      <c r="AT50" s="46">
        <f>ZZZ__FnCalls!A48</f>
        <v>41426</v>
      </c>
      <c r="AU50" s="46">
        <f>ZZZ__FnCalls!A49</f>
        <v>41456</v>
      </c>
      <c r="AV50" s="46">
        <f>ZZZ__FnCalls!A50</f>
        <v>41487</v>
      </c>
      <c r="AW50" s="46">
        <f>ZZZ__FnCalls!A51</f>
        <v>41518</v>
      </c>
      <c r="AX50" s="46">
        <f>ZZZ__FnCalls!A52</f>
        <v>41548</v>
      </c>
      <c r="AY50" s="46">
        <f>ZZZ__FnCalls!A53</f>
        <v>41579</v>
      </c>
      <c r="AZ50" s="46">
        <f>ZZZ__FnCalls!A54</f>
        <v>41609</v>
      </c>
      <c r="BA50" s="47">
        <f>ZZZ__FnCalls!A43</f>
        <v>41275</v>
      </c>
      <c r="BB50" s="46">
        <f>ZZZ__FnCalls!A55</f>
        <v>41640</v>
      </c>
      <c r="BC50" s="46">
        <f>ZZZ__FnCalls!A56</f>
        <v>41671</v>
      </c>
      <c r="BD50" s="46">
        <f>ZZZ__FnCalls!A57</f>
        <v>41699</v>
      </c>
      <c r="BE50" s="46">
        <f>ZZZ__FnCalls!A58</f>
        <v>41730</v>
      </c>
      <c r="BF50" s="46">
        <f>ZZZ__FnCalls!A59</f>
        <v>41760</v>
      </c>
      <c r="BG50" s="46">
        <f>ZZZ__FnCalls!A60</f>
        <v>41791</v>
      </c>
      <c r="BH50" s="46">
        <f>ZZZ__FnCalls!A61</f>
        <v>41821</v>
      </c>
      <c r="BI50" s="46">
        <f>ZZZ__FnCalls!A62</f>
        <v>41852</v>
      </c>
      <c r="BJ50" s="46">
        <f>ZZZ__FnCalls!A63</f>
        <v>41883</v>
      </c>
      <c r="BK50" s="46">
        <f>ZZZ__FnCalls!A64</f>
        <v>41913</v>
      </c>
      <c r="BL50" s="46">
        <f>ZZZ__FnCalls!A65</f>
        <v>41944</v>
      </c>
      <c r="BM50" s="46">
        <f>ZZZ__FnCalls!A66</f>
        <v>41974</v>
      </c>
      <c r="BN50" s="47">
        <f>ZZZ__FnCalls!A55</f>
        <v>41640</v>
      </c>
      <c r="BO50" s="46">
        <f>ZZZ__FnCalls!A67</f>
        <v>42005</v>
      </c>
      <c r="BP50" s="46">
        <f>ZZZ__FnCalls!A68</f>
        <v>42036</v>
      </c>
      <c r="BQ50" s="46">
        <f>ZZZ__FnCalls!A69</f>
        <v>42064</v>
      </c>
      <c r="BR50" s="46">
        <f>ZZZ__FnCalls!A70</f>
        <v>42095</v>
      </c>
      <c r="BS50" s="46">
        <f>ZZZ__FnCalls!A71</f>
        <v>42125</v>
      </c>
      <c r="BT50" s="46">
        <f>ZZZ__FnCalls!A72</f>
        <v>42156</v>
      </c>
      <c r="BU50" s="46">
        <f>ZZZ__FnCalls!A73</f>
        <v>42186</v>
      </c>
      <c r="BV50" s="46">
        <f>ZZZ__FnCalls!A74</f>
        <v>42217</v>
      </c>
      <c r="BW50" s="46">
        <f>ZZZ__FnCalls!A75</f>
        <v>42248</v>
      </c>
      <c r="BX50" s="46">
        <f>ZZZ__FnCalls!A76</f>
        <v>42278</v>
      </c>
      <c r="BY50" s="46">
        <f>ZZZ__FnCalls!A77</f>
        <v>42309</v>
      </c>
      <c r="BZ50" s="46">
        <f>ZZZ__FnCalls!A78</f>
        <v>42339</v>
      </c>
      <c r="CA50" s="47">
        <f>ZZZ__FnCalls!A67</f>
        <v>42005</v>
      </c>
      <c r="CB50" s="46">
        <f>ZZZ__FnCalls!A79</f>
        <v>42370</v>
      </c>
      <c r="CC50" s="46">
        <f>ZZZ__FnCalls!A80</f>
        <v>42401</v>
      </c>
      <c r="CD50" s="46">
        <f>ZZZ__FnCalls!A81</f>
        <v>42430</v>
      </c>
      <c r="CE50" s="46">
        <f>ZZZ__FnCalls!A82</f>
        <v>42461</v>
      </c>
      <c r="CF50" s="46">
        <f>ZZZ__FnCalls!A83</f>
        <v>42491</v>
      </c>
      <c r="CG50" s="46">
        <f>ZZZ__FnCalls!A84</f>
        <v>42522</v>
      </c>
      <c r="CH50" s="46">
        <f>ZZZ__FnCalls!A85</f>
        <v>42552</v>
      </c>
      <c r="CI50" s="46">
        <f>ZZZ__FnCalls!A86</f>
        <v>42583</v>
      </c>
      <c r="CJ50" s="46">
        <f>ZZZ__FnCalls!A87</f>
        <v>42614</v>
      </c>
      <c r="CK50" s="46">
        <f>ZZZ__FnCalls!A88</f>
        <v>42644</v>
      </c>
      <c r="CL50" s="46">
        <f>ZZZ__FnCalls!A89</f>
        <v>42675</v>
      </c>
      <c r="CM50" s="46">
        <f>ZZZ__FnCalls!A90</f>
        <v>42705</v>
      </c>
      <c r="CN50" s="47">
        <f>ZZZ__FnCalls!A79</f>
        <v>42370</v>
      </c>
      <c r="CO50" s="46">
        <f>ZZZ__FnCalls!A91</f>
        <v>42736</v>
      </c>
      <c r="CP50" s="46">
        <f>ZZZ__FnCalls!A92</f>
        <v>42767</v>
      </c>
      <c r="CQ50" s="46">
        <f>ZZZ__FnCalls!A93</f>
        <v>42795</v>
      </c>
      <c r="CR50" s="46">
        <f>ZZZ__FnCalls!A94</f>
        <v>42826</v>
      </c>
      <c r="CS50" s="46">
        <f>ZZZ__FnCalls!A95</f>
        <v>42856</v>
      </c>
      <c r="CT50" s="46">
        <f>ZZZ__FnCalls!A96</f>
        <v>42887</v>
      </c>
      <c r="CU50" s="46">
        <f>ZZZ__FnCalls!A97</f>
        <v>42917</v>
      </c>
      <c r="CV50" s="46">
        <f>ZZZ__FnCalls!A98</f>
        <v>42948</v>
      </c>
      <c r="CW50" s="46">
        <f>ZZZ__FnCalls!A99</f>
        <v>42979</v>
      </c>
      <c r="CX50" s="46">
        <f>ZZZ__FnCalls!A100</f>
        <v>43009</v>
      </c>
      <c r="CY50" s="46">
        <f>ZZZ__FnCalls!A101</f>
        <v>43040</v>
      </c>
      <c r="CZ50" s="46">
        <f>ZZZ__FnCalls!A102</f>
        <v>43070</v>
      </c>
      <c r="DA50" s="47">
        <f>ZZZ__FnCalls!A91</f>
        <v>42736</v>
      </c>
      <c r="DB50" s="46">
        <f>ZZZ__FnCalls!A103</f>
        <v>43101</v>
      </c>
      <c r="DC50" s="46">
        <f>ZZZ__FnCalls!A104</f>
        <v>43132</v>
      </c>
      <c r="DD50" s="46">
        <f>ZZZ__FnCalls!A105</f>
        <v>43160</v>
      </c>
      <c r="DE50" s="46">
        <f>ZZZ__FnCalls!A106</f>
        <v>43191</v>
      </c>
      <c r="DF50" s="46">
        <f>ZZZ__FnCalls!A107</f>
        <v>43221</v>
      </c>
      <c r="DG50" s="46">
        <f>ZZZ__FnCalls!A108</f>
        <v>43252</v>
      </c>
      <c r="DH50" s="46">
        <f>ZZZ__FnCalls!A109</f>
        <v>43282</v>
      </c>
      <c r="DI50" s="46">
        <f>ZZZ__FnCalls!A110</f>
        <v>43313</v>
      </c>
      <c r="DJ50" s="46">
        <f>ZZZ__FnCalls!A111</f>
        <v>43344</v>
      </c>
      <c r="DK50" s="46">
        <f>ZZZ__FnCalls!A112</f>
        <v>43374</v>
      </c>
      <c r="DL50" s="46">
        <f>ZZZ__FnCalls!A113</f>
        <v>43405</v>
      </c>
      <c r="DM50" s="46">
        <f>ZZZ__FnCalls!A114</f>
        <v>43435</v>
      </c>
      <c r="DN50" s="47">
        <f>ZZZ__FnCalls!A103</f>
        <v>43101</v>
      </c>
      <c r="DO50" s="46">
        <f>ZZZ__FnCalls!A115</f>
        <v>43466</v>
      </c>
      <c r="DP50" s="46">
        <f>ZZZ__FnCalls!A116</f>
        <v>43497</v>
      </c>
      <c r="DQ50" s="46">
        <f>ZZZ__FnCalls!A117</f>
        <v>43525</v>
      </c>
      <c r="DR50" s="46">
        <f>ZZZ__FnCalls!A118</f>
        <v>43556</v>
      </c>
      <c r="DS50" s="46">
        <f>ZZZ__FnCalls!A119</f>
        <v>43586</v>
      </c>
      <c r="DT50" s="46">
        <f>ZZZ__FnCalls!A120</f>
        <v>43617</v>
      </c>
      <c r="DU50" s="46">
        <f>ZZZ__FnCalls!A121</f>
        <v>43647</v>
      </c>
      <c r="DV50" s="46">
        <f>ZZZ__FnCalls!A122</f>
        <v>43678</v>
      </c>
      <c r="DW50" s="46">
        <f>ZZZ__FnCalls!A123</f>
        <v>43709</v>
      </c>
      <c r="DX50" s="46">
        <f>ZZZ__FnCalls!A124</f>
        <v>43739</v>
      </c>
      <c r="DY50" s="46">
        <f>ZZZ__FnCalls!A125</f>
        <v>43770</v>
      </c>
      <c r="DZ50" s="46">
        <f>ZZZ__FnCalls!A126</f>
        <v>43800</v>
      </c>
      <c r="EA50" s="47">
        <f>ZZZ__FnCalls!A115</f>
        <v>43466</v>
      </c>
      <c r="EB50" s="46">
        <f>ZZZ__FnCalls!A127</f>
        <v>43831</v>
      </c>
      <c r="EC50" s="46">
        <f>ZZZ__FnCalls!A128</f>
        <v>43862</v>
      </c>
      <c r="ED50" s="46">
        <f>ZZZ__FnCalls!A129</f>
        <v>43891</v>
      </c>
      <c r="EE50" s="46">
        <f>ZZZ__FnCalls!A130</f>
        <v>43922</v>
      </c>
      <c r="EF50" s="46">
        <f>ZZZ__FnCalls!A131</f>
        <v>43952</v>
      </c>
      <c r="EG50" s="46">
        <f>ZZZ__FnCalls!A132</f>
        <v>43983</v>
      </c>
      <c r="EH50" s="46">
        <f>ZZZ__FnCalls!A133</f>
        <v>44013</v>
      </c>
      <c r="EI50" s="46">
        <f>ZZZ__FnCalls!A134</f>
        <v>44044</v>
      </c>
      <c r="EJ50" s="46">
        <f>ZZZ__FnCalls!A135</f>
        <v>44075</v>
      </c>
      <c r="EK50" s="46">
        <f>ZZZ__FnCalls!A136</f>
        <v>44105</v>
      </c>
      <c r="EL50" s="46">
        <f>ZZZ__FnCalls!A137</f>
        <v>44136</v>
      </c>
      <c r="EM50" s="46">
        <f>ZZZ__FnCalls!A138</f>
        <v>44166</v>
      </c>
      <c r="EN50" s="47">
        <f>ZZZ__FnCalls!A127</f>
        <v>43831</v>
      </c>
    </row>
    <row r="51" spans="1:144" ht="12.75" customHeight="1" x14ac:dyDescent="0.2">
      <c r="A51" s="2" t="str">
        <f>"Employment_2"</f>
        <v>Employment_2</v>
      </c>
    </row>
    <row r="52" spans="1:144" ht="12.75" customHeight="1" x14ac:dyDescent="0.2">
      <c r="B52" s="19" t="str">
        <f>ZZZ__FnCalls!F7</f>
        <v>MMM 2010</v>
      </c>
      <c r="C52" s="20" t="str">
        <f>ZZZ__FnCalls!F8</f>
        <v>MMM 2010</v>
      </c>
      <c r="D52" s="20" t="str">
        <f>ZZZ__FnCalls!F9</f>
        <v>MMM 2010</v>
      </c>
      <c r="E52" s="20" t="str">
        <f>ZZZ__FnCalls!F10</f>
        <v>MMM 2010</v>
      </c>
      <c r="F52" s="20" t="str">
        <f>ZZZ__FnCalls!F11</f>
        <v>MMM 2010</v>
      </c>
      <c r="G52" s="20" t="str">
        <f>ZZZ__FnCalls!F12</f>
        <v>MMM 2010</v>
      </c>
      <c r="H52" s="20" t="str">
        <f>ZZZ__FnCalls!F13</f>
        <v>MMM 2010</v>
      </c>
      <c r="I52" s="20" t="str">
        <f>ZZZ__FnCalls!F14</f>
        <v>MMM 2010</v>
      </c>
      <c r="J52" s="20" t="str">
        <f>ZZZ__FnCalls!F15</f>
        <v>MMM 2010</v>
      </c>
      <c r="K52" s="20" t="str">
        <f>ZZZ__FnCalls!F16</f>
        <v>MMM 2010</v>
      </c>
      <c r="L52" s="20" t="str">
        <f>ZZZ__FnCalls!F17</f>
        <v>MMM 2010</v>
      </c>
      <c r="M52" s="20" t="str">
        <f>ZZZ__FnCalls!F18</f>
        <v>MMM 2010</v>
      </c>
      <c r="N52" s="21" t="str">
        <f>ZZZ__FnCalls!H7</f>
        <v>2010</v>
      </c>
      <c r="O52" s="20" t="str">
        <f>ZZZ__FnCalls!F19</f>
        <v>MMM 2011</v>
      </c>
      <c r="P52" s="20" t="str">
        <f>ZZZ__FnCalls!F20</f>
        <v>MMM 2011</v>
      </c>
      <c r="Q52" s="20" t="str">
        <f>ZZZ__FnCalls!F21</f>
        <v>MMM 2011</v>
      </c>
      <c r="R52" s="20" t="str">
        <f>ZZZ__FnCalls!F22</f>
        <v>MMM 2011</v>
      </c>
      <c r="S52" s="20" t="str">
        <f>ZZZ__FnCalls!F23</f>
        <v>MMM 2011</v>
      </c>
      <c r="T52" s="20" t="str">
        <f>ZZZ__FnCalls!F24</f>
        <v>MMM 2011</v>
      </c>
      <c r="U52" s="20" t="str">
        <f>ZZZ__FnCalls!F25</f>
        <v>MMM 2011</v>
      </c>
      <c r="V52" s="20" t="str">
        <f>ZZZ__FnCalls!F26</f>
        <v>MMM 2011</v>
      </c>
      <c r="W52" s="20" t="str">
        <f>ZZZ__FnCalls!F27</f>
        <v>MMM 2011</v>
      </c>
      <c r="X52" s="20" t="str">
        <f>ZZZ__FnCalls!F28</f>
        <v>MMM 2011</v>
      </c>
      <c r="Y52" s="20" t="str">
        <f>ZZZ__FnCalls!F29</f>
        <v>MMM 2011</v>
      </c>
      <c r="Z52" s="20" t="str">
        <f>ZZZ__FnCalls!F30</f>
        <v>MMM 2011</v>
      </c>
      <c r="AA52" s="21" t="str">
        <f>ZZZ__FnCalls!H19</f>
        <v>2011</v>
      </c>
      <c r="AB52" s="20" t="str">
        <f>ZZZ__FnCalls!F31</f>
        <v>MMM 2012</v>
      </c>
      <c r="AC52" s="20" t="str">
        <f>ZZZ__FnCalls!F32</f>
        <v>MMM 2012</v>
      </c>
      <c r="AD52" s="20" t="str">
        <f>ZZZ__FnCalls!F33</f>
        <v>MMM 2012</v>
      </c>
      <c r="AE52" s="20" t="str">
        <f>ZZZ__FnCalls!F34</f>
        <v>MMM 2012</v>
      </c>
      <c r="AF52" s="20" t="str">
        <f>ZZZ__FnCalls!F35</f>
        <v>MMM 2012</v>
      </c>
      <c r="AG52" s="20" t="str">
        <f>ZZZ__FnCalls!F36</f>
        <v>MMM 2012</v>
      </c>
      <c r="AH52" s="20" t="str">
        <f>ZZZ__FnCalls!F37</f>
        <v>MMM 2012</v>
      </c>
      <c r="AI52" s="20" t="str">
        <f>ZZZ__FnCalls!F38</f>
        <v>MMM 2012</v>
      </c>
      <c r="AJ52" s="20" t="str">
        <f>ZZZ__FnCalls!F39</f>
        <v>MMM 2012</v>
      </c>
      <c r="AK52" s="20" t="str">
        <f>ZZZ__FnCalls!F40</f>
        <v>MMM 2012</v>
      </c>
      <c r="AL52" s="20" t="str">
        <f>ZZZ__FnCalls!F41</f>
        <v>MMM 2012</v>
      </c>
      <c r="AM52" s="20" t="str">
        <f>ZZZ__FnCalls!F42</f>
        <v>MMM 2012</v>
      </c>
      <c r="AN52" s="21" t="str">
        <f>ZZZ__FnCalls!H31</f>
        <v>2012</v>
      </c>
      <c r="AO52" s="20" t="str">
        <f>ZZZ__FnCalls!F43</f>
        <v>MMM 2013</v>
      </c>
      <c r="AP52" s="20" t="str">
        <f>ZZZ__FnCalls!F44</f>
        <v>MMM 2013</v>
      </c>
      <c r="AQ52" s="20" t="str">
        <f>ZZZ__FnCalls!F45</f>
        <v>MMM 2013</v>
      </c>
      <c r="AR52" s="20" t="str">
        <f>ZZZ__FnCalls!F46</f>
        <v>MMM 2013</v>
      </c>
      <c r="AS52" s="20" t="str">
        <f>ZZZ__FnCalls!F47</f>
        <v>MMM 2013</v>
      </c>
      <c r="AT52" s="20" t="str">
        <f>ZZZ__FnCalls!F48</f>
        <v>MMM 2013</v>
      </c>
      <c r="AU52" s="20" t="str">
        <f>ZZZ__FnCalls!F49</f>
        <v>MMM 2013</v>
      </c>
      <c r="AV52" s="20" t="str">
        <f>ZZZ__FnCalls!F50</f>
        <v>MMM 2013</v>
      </c>
      <c r="AW52" s="20" t="str">
        <f>ZZZ__FnCalls!F51</f>
        <v>MMM 2013</v>
      </c>
      <c r="AX52" s="20" t="str">
        <f>ZZZ__FnCalls!F52</f>
        <v>MMM 2013</v>
      </c>
      <c r="AY52" s="20" t="str">
        <f>ZZZ__FnCalls!F53</f>
        <v>MMM 2013</v>
      </c>
      <c r="AZ52" s="20" t="str">
        <f>ZZZ__FnCalls!F54</f>
        <v>MMM 2013</v>
      </c>
      <c r="BA52" s="21" t="str">
        <f>ZZZ__FnCalls!H43</f>
        <v>2013</v>
      </c>
      <c r="BB52" s="20" t="str">
        <f>ZZZ__FnCalls!F55</f>
        <v>MMM 2014</v>
      </c>
      <c r="BC52" s="20" t="str">
        <f>ZZZ__FnCalls!F56</f>
        <v>MMM 2014</v>
      </c>
      <c r="BD52" s="20" t="str">
        <f>ZZZ__FnCalls!F57</f>
        <v>MMM 2014</v>
      </c>
      <c r="BE52" s="20" t="str">
        <f>ZZZ__FnCalls!F58</f>
        <v>MMM 2014</v>
      </c>
      <c r="BF52" s="20" t="str">
        <f>ZZZ__FnCalls!F59</f>
        <v>MMM 2014</v>
      </c>
      <c r="BG52" s="20" t="str">
        <f>ZZZ__FnCalls!F60</f>
        <v>MMM 2014</v>
      </c>
      <c r="BH52" s="20" t="str">
        <f>ZZZ__FnCalls!F61</f>
        <v>MMM 2014</v>
      </c>
      <c r="BI52" s="20" t="str">
        <f>ZZZ__FnCalls!F62</f>
        <v>MMM 2014</v>
      </c>
      <c r="BJ52" s="20" t="str">
        <f>ZZZ__FnCalls!F63</f>
        <v>MMM 2014</v>
      </c>
      <c r="BK52" s="20" t="str">
        <f>ZZZ__FnCalls!F64</f>
        <v>MMM 2014</v>
      </c>
      <c r="BL52" s="20" t="str">
        <f>ZZZ__FnCalls!F65</f>
        <v>MMM 2014</v>
      </c>
      <c r="BM52" s="20" t="str">
        <f>ZZZ__FnCalls!F66</f>
        <v>MMM 2014</v>
      </c>
      <c r="BN52" s="21" t="str">
        <f>ZZZ__FnCalls!H55</f>
        <v>2014</v>
      </c>
      <c r="BO52" s="20" t="str">
        <f>ZZZ__FnCalls!F67</f>
        <v>MMM 2015</v>
      </c>
      <c r="BP52" s="20" t="str">
        <f>ZZZ__FnCalls!F68</f>
        <v>MMM 2015</v>
      </c>
      <c r="BQ52" s="20" t="str">
        <f>ZZZ__FnCalls!F69</f>
        <v>MMM 2015</v>
      </c>
      <c r="BR52" s="20" t="str">
        <f>ZZZ__FnCalls!F70</f>
        <v>MMM 2015</v>
      </c>
      <c r="BS52" s="20" t="str">
        <f>ZZZ__FnCalls!F71</f>
        <v>MMM 2015</v>
      </c>
      <c r="BT52" s="20" t="str">
        <f>ZZZ__FnCalls!F72</f>
        <v>MMM 2015</v>
      </c>
      <c r="BU52" s="20" t="str">
        <f>ZZZ__FnCalls!F73</f>
        <v>MMM 2015</v>
      </c>
      <c r="BV52" s="20" t="str">
        <f>ZZZ__FnCalls!F74</f>
        <v>MMM 2015</v>
      </c>
      <c r="BW52" s="20" t="str">
        <f>ZZZ__FnCalls!F75</f>
        <v>MMM 2015</v>
      </c>
      <c r="BX52" s="20" t="str">
        <f>ZZZ__FnCalls!F76</f>
        <v>MMM 2015</v>
      </c>
      <c r="BY52" s="20" t="str">
        <f>ZZZ__FnCalls!F77</f>
        <v>MMM 2015</v>
      </c>
      <c r="BZ52" s="20" t="str">
        <f>ZZZ__FnCalls!F78</f>
        <v>MMM 2015</v>
      </c>
      <c r="CA52" s="21" t="str">
        <f>ZZZ__FnCalls!H67</f>
        <v>2015</v>
      </c>
      <c r="CB52" s="20" t="str">
        <f>ZZZ__FnCalls!F79</f>
        <v>MMM 2016</v>
      </c>
      <c r="CC52" s="20" t="str">
        <f>ZZZ__FnCalls!F80</f>
        <v>MMM 2016</v>
      </c>
      <c r="CD52" s="20" t="str">
        <f>ZZZ__FnCalls!F81</f>
        <v>MMM 2016</v>
      </c>
      <c r="CE52" s="20" t="str">
        <f>ZZZ__FnCalls!F82</f>
        <v>MMM 2016</v>
      </c>
      <c r="CF52" s="20" t="str">
        <f>ZZZ__FnCalls!F83</f>
        <v>MMM 2016</v>
      </c>
      <c r="CG52" s="20" t="str">
        <f>ZZZ__FnCalls!F84</f>
        <v>MMM 2016</v>
      </c>
      <c r="CH52" s="20" t="str">
        <f>ZZZ__FnCalls!F85</f>
        <v>MMM 2016</v>
      </c>
      <c r="CI52" s="20" t="str">
        <f>ZZZ__FnCalls!F86</f>
        <v>MMM 2016</v>
      </c>
      <c r="CJ52" s="20" t="str">
        <f>ZZZ__FnCalls!F87</f>
        <v>MMM 2016</v>
      </c>
      <c r="CK52" s="20" t="str">
        <f>ZZZ__FnCalls!F88</f>
        <v>MMM 2016</v>
      </c>
      <c r="CL52" s="20" t="str">
        <f>ZZZ__FnCalls!F89</f>
        <v>MMM 2016</v>
      </c>
      <c r="CM52" s="20" t="str">
        <f>ZZZ__FnCalls!F90</f>
        <v>MMM 2016</v>
      </c>
      <c r="CN52" s="21" t="str">
        <f>ZZZ__FnCalls!H79</f>
        <v>2016</v>
      </c>
      <c r="CO52" s="20" t="str">
        <f>ZZZ__FnCalls!F91</f>
        <v>MMM 2017</v>
      </c>
      <c r="CP52" s="20" t="str">
        <f>ZZZ__FnCalls!F92</f>
        <v>MMM 2017</v>
      </c>
      <c r="CQ52" s="20" t="str">
        <f>ZZZ__FnCalls!F93</f>
        <v>MMM 2017</v>
      </c>
      <c r="CR52" s="20" t="str">
        <f>ZZZ__FnCalls!F94</f>
        <v>MMM 2017</v>
      </c>
      <c r="CS52" s="20" t="str">
        <f>ZZZ__FnCalls!F95</f>
        <v>MMM 2017</v>
      </c>
      <c r="CT52" s="20" t="str">
        <f>ZZZ__FnCalls!F96</f>
        <v>MMM 2017</v>
      </c>
      <c r="CU52" s="20" t="str">
        <f>ZZZ__FnCalls!F97</f>
        <v>MMM 2017</v>
      </c>
      <c r="CV52" s="20" t="str">
        <f>ZZZ__FnCalls!F98</f>
        <v>MMM 2017</v>
      </c>
      <c r="CW52" s="20" t="str">
        <f>ZZZ__FnCalls!F99</f>
        <v>MMM 2017</v>
      </c>
      <c r="CX52" s="20" t="str">
        <f>ZZZ__FnCalls!F100</f>
        <v>MMM 2017</v>
      </c>
      <c r="CY52" s="20" t="str">
        <f>ZZZ__FnCalls!F101</f>
        <v>MMM 2017</v>
      </c>
      <c r="CZ52" s="20" t="str">
        <f>ZZZ__FnCalls!F102</f>
        <v>MMM 2017</v>
      </c>
      <c r="DA52" s="21" t="str">
        <f>ZZZ__FnCalls!H91</f>
        <v>2017</v>
      </c>
      <c r="DB52" s="20" t="str">
        <f>ZZZ__FnCalls!F103</f>
        <v>MMM 2018</v>
      </c>
      <c r="DC52" s="20" t="str">
        <f>ZZZ__FnCalls!F104</f>
        <v>MMM 2018</v>
      </c>
      <c r="DD52" s="20" t="str">
        <f>ZZZ__FnCalls!F105</f>
        <v>MMM 2018</v>
      </c>
      <c r="DE52" s="20" t="str">
        <f>ZZZ__FnCalls!F106</f>
        <v>MMM 2018</v>
      </c>
      <c r="DF52" s="20" t="str">
        <f>ZZZ__FnCalls!F107</f>
        <v>MMM 2018</v>
      </c>
      <c r="DG52" s="20" t="str">
        <f>ZZZ__FnCalls!F108</f>
        <v>MMM 2018</v>
      </c>
      <c r="DH52" s="20" t="str">
        <f>ZZZ__FnCalls!F109</f>
        <v>MMM 2018</v>
      </c>
      <c r="DI52" s="20" t="str">
        <f>ZZZ__FnCalls!F110</f>
        <v>MMM 2018</v>
      </c>
      <c r="DJ52" s="20" t="str">
        <f>ZZZ__FnCalls!F111</f>
        <v>MMM 2018</v>
      </c>
      <c r="DK52" s="20" t="str">
        <f>ZZZ__FnCalls!F112</f>
        <v>MMM 2018</v>
      </c>
      <c r="DL52" s="20" t="str">
        <f>ZZZ__FnCalls!F113</f>
        <v>MMM 2018</v>
      </c>
      <c r="DM52" s="20" t="str">
        <f>ZZZ__FnCalls!F114</f>
        <v>MMM 2018</v>
      </c>
      <c r="DN52" s="21" t="str">
        <f>ZZZ__FnCalls!H103</f>
        <v>2018</v>
      </c>
      <c r="DO52" s="20" t="str">
        <f>ZZZ__FnCalls!F115</f>
        <v>MMM 2019</v>
      </c>
      <c r="DP52" s="20" t="str">
        <f>ZZZ__FnCalls!F116</f>
        <v>MMM 2019</v>
      </c>
      <c r="DQ52" s="20" t="str">
        <f>ZZZ__FnCalls!F117</f>
        <v>MMM 2019</v>
      </c>
      <c r="DR52" s="20" t="str">
        <f>ZZZ__FnCalls!F118</f>
        <v>MMM 2019</v>
      </c>
      <c r="DS52" s="20" t="str">
        <f>ZZZ__FnCalls!F119</f>
        <v>MMM 2019</v>
      </c>
      <c r="DT52" s="20" t="str">
        <f>ZZZ__FnCalls!F120</f>
        <v>MMM 2019</v>
      </c>
      <c r="DU52" s="20" t="str">
        <f>ZZZ__FnCalls!F121</f>
        <v>MMM 2019</v>
      </c>
      <c r="DV52" s="20" t="str">
        <f>ZZZ__FnCalls!F122</f>
        <v>MMM 2019</v>
      </c>
      <c r="DW52" s="20" t="str">
        <f>ZZZ__FnCalls!F123</f>
        <v>MMM 2019</v>
      </c>
      <c r="DX52" s="20" t="str">
        <f>ZZZ__FnCalls!F124</f>
        <v>MMM 2019</v>
      </c>
      <c r="DY52" s="20" t="str">
        <f>ZZZ__FnCalls!F125</f>
        <v>MMM 2019</v>
      </c>
      <c r="DZ52" s="20" t="str">
        <f>ZZZ__FnCalls!F126</f>
        <v>MMM 2019</v>
      </c>
      <c r="EA52" s="21" t="str">
        <f>ZZZ__FnCalls!H115</f>
        <v>2019</v>
      </c>
      <c r="EB52" s="20" t="str">
        <f>ZZZ__FnCalls!F127</f>
        <v>MMM 2020</v>
      </c>
      <c r="EC52" s="20" t="str">
        <f>ZZZ__FnCalls!F128</f>
        <v>MMM 2020</v>
      </c>
      <c r="ED52" s="20" t="str">
        <f>ZZZ__FnCalls!F129</f>
        <v>MMM 2020</v>
      </c>
      <c r="EE52" s="20" t="str">
        <f>ZZZ__FnCalls!F130</f>
        <v>MMM 2020</v>
      </c>
      <c r="EF52" s="20" t="str">
        <f>ZZZ__FnCalls!F131</f>
        <v>MMM 2020</v>
      </c>
      <c r="EG52" s="20" t="str">
        <f>ZZZ__FnCalls!F132</f>
        <v>MMM 2020</v>
      </c>
      <c r="EH52" s="20" t="str">
        <f>ZZZ__FnCalls!F133</f>
        <v>MMM 2020</v>
      </c>
      <c r="EI52" s="20" t="str">
        <f>ZZZ__FnCalls!F134</f>
        <v>MMM 2020</v>
      </c>
      <c r="EJ52" s="20" t="str">
        <f>ZZZ__FnCalls!F135</f>
        <v>MMM 2020</v>
      </c>
      <c r="EK52" s="20" t="str">
        <f>ZZZ__FnCalls!F136</f>
        <v>MMM 2020</v>
      </c>
      <c r="EL52" s="20" t="str">
        <f>ZZZ__FnCalls!F137</f>
        <v>MMM 2020</v>
      </c>
      <c r="EM52" s="20" t="str">
        <f>ZZZ__FnCalls!F138</f>
        <v>MMM 2020</v>
      </c>
      <c r="EN52" s="21" t="str">
        <f>ZZZ__FnCalls!H127</f>
        <v>2020</v>
      </c>
    </row>
    <row r="53" spans="1:144" ht="12.75" customHeight="1" x14ac:dyDescent="0.2">
      <c r="A53" s="5"/>
      <c r="B53" s="46" t="str">
        <f>ZZZ__FnCalls!F7</f>
        <v>MMM 2010</v>
      </c>
      <c r="C53" s="46" t="str">
        <f>ZZZ__FnCalls!F8</f>
        <v>MMM 2010</v>
      </c>
      <c r="D53" s="46" t="str">
        <f>ZZZ__FnCalls!F9</f>
        <v>MMM 2010</v>
      </c>
      <c r="E53" s="46" t="str">
        <f>ZZZ__FnCalls!F10</f>
        <v>MMM 2010</v>
      </c>
      <c r="F53" s="46" t="str">
        <f>ZZZ__FnCalls!F11</f>
        <v>MMM 2010</v>
      </c>
      <c r="G53" s="46" t="str">
        <f>ZZZ__FnCalls!F12</f>
        <v>MMM 2010</v>
      </c>
      <c r="H53" s="46" t="str">
        <f>ZZZ__FnCalls!F13</f>
        <v>MMM 2010</v>
      </c>
      <c r="I53" s="46" t="str">
        <f>ZZZ__FnCalls!F14</f>
        <v>MMM 2010</v>
      </c>
      <c r="J53" s="46" t="str">
        <f>ZZZ__FnCalls!F15</f>
        <v>MMM 2010</v>
      </c>
      <c r="K53" s="46" t="str">
        <f>ZZZ__FnCalls!F16</f>
        <v>MMM 2010</v>
      </c>
      <c r="L53" s="46" t="str">
        <f>ZZZ__FnCalls!F17</f>
        <v>MMM 2010</v>
      </c>
      <c r="M53" s="46" t="str">
        <f>ZZZ__FnCalls!F18</f>
        <v>MMM 2010</v>
      </c>
      <c r="N53" s="47" t="str">
        <f>ZZZ__FnCalls!F7</f>
        <v>MMM 2010</v>
      </c>
      <c r="O53" s="46" t="str">
        <f>ZZZ__FnCalls!F19</f>
        <v>MMM 2011</v>
      </c>
      <c r="P53" s="46" t="str">
        <f>ZZZ__FnCalls!F20</f>
        <v>MMM 2011</v>
      </c>
      <c r="Q53" s="46" t="str">
        <f>ZZZ__FnCalls!F21</f>
        <v>MMM 2011</v>
      </c>
      <c r="R53" s="46" t="str">
        <f>ZZZ__FnCalls!F22</f>
        <v>MMM 2011</v>
      </c>
      <c r="S53" s="46" t="str">
        <f>ZZZ__FnCalls!F23</f>
        <v>MMM 2011</v>
      </c>
      <c r="T53" s="46" t="str">
        <f>ZZZ__FnCalls!F24</f>
        <v>MMM 2011</v>
      </c>
      <c r="U53" s="46" t="str">
        <f>ZZZ__FnCalls!F25</f>
        <v>MMM 2011</v>
      </c>
      <c r="V53" s="46" t="str">
        <f>ZZZ__FnCalls!F26</f>
        <v>MMM 2011</v>
      </c>
      <c r="W53" s="46" t="str">
        <f>ZZZ__FnCalls!F27</f>
        <v>MMM 2011</v>
      </c>
      <c r="X53" s="46" t="str">
        <f>ZZZ__FnCalls!F28</f>
        <v>MMM 2011</v>
      </c>
      <c r="Y53" s="46" t="str">
        <f>ZZZ__FnCalls!F29</f>
        <v>MMM 2011</v>
      </c>
      <c r="Z53" s="46" t="str">
        <f>ZZZ__FnCalls!F30</f>
        <v>MMM 2011</v>
      </c>
      <c r="AA53" s="47" t="str">
        <f>ZZZ__FnCalls!F19</f>
        <v>MMM 2011</v>
      </c>
      <c r="AB53" s="46" t="str">
        <f>ZZZ__FnCalls!F31</f>
        <v>MMM 2012</v>
      </c>
      <c r="AC53" s="46" t="str">
        <f>ZZZ__FnCalls!F32</f>
        <v>MMM 2012</v>
      </c>
      <c r="AD53" s="46" t="str">
        <f>ZZZ__FnCalls!F33</f>
        <v>MMM 2012</v>
      </c>
      <c r="AE53" s="46" t="str">
        <f>ZZZ__FnCalls!F34</f>
        <v>MMM 2012</v>
      </c>
      <c r="AF53" s="46" t="str">
        <f>ZZZ__FnCalls!F35</f>
        <v>MMM 2012</v>
      </c>
      <c r="AG53" s="46" t="str">
        <f>ZZZ__FnCalls!F36</f>
        <v>MMM 2012</v>
      </c>
      <c r="AH53" s="46" t="str">
        <f>ZZZ__FnCalls!F37</f>
        <v>MMM 2012</v>
      </c>
      <c r="AI53" s="46" t="str">
        <f>ZZZ__FnCalls!F38</f>
        <v>MMM 2012</v>
      </c>
      <c r="AJ53" s="46" t="str">
        <f>ZZZ__FnCalls!F39</f>
        <v>MMM 2012</v>
      </c>
      <c r="AK53" s="46" t="str">
        <f>ZZZ__FnCalls!F40</f>
        <v>MMM 2012</v>
      </c>
      <c r="AL53" s="46" t="str">
        <f>ZZZ__FnCalls!F41</f>
        <v>MMM 2012</v>
      </c>
      <c r="AM53" s="46" t="str">
        <f>ZZZ__FnCalls!F42</f>
        <v>MMM 2012</v>
      </c>
      <c r="AN53" s="47" t="str">
        <f>ZZZ__FnCalls!F31</f>
        <v>MMM 2012</v>
      </c>
      <c r="AO53" s="46" t="str">
        <f>ZZZ__FnCalls!F43</f>
        <v>MMM 2013</v>
      </c>
      <c r="AP53" s="46" t="str">
        <f>ZZZ__FnCalls!F44</f>
        <v>MMM 2013</v>
      </c>
      <c r="AQ53" s="46" t="str">
        <f>ZZZ__FnCalls!F45</f>
        <v>MMM 2013</v>
      </c>
      <c r="AR53" s="46" t="str">
        <f>ZZZ__FnCalls!F46</f>
        <v>MMM 2013</v>
      </c>
      <c r="AS53" s="46" t="str">
        <f>ZZZ__FnCalls!F47</f>
        <v>MMM 2013</v>
      </c>
      <c r="AT53" s="46" t="str">
        <f>ZZZ__FnCalls!F48</f>
        <v>MMM 2013</v>
      </c>
      <c r="AU53" s="46" t="str">
        <f>ZZZ__FnCalls!F49</f>
        <v>MMM 2013</v>
      </c>
      <c r="AV53" s="46" t="str">
        <f>ZZZ__FnCalls!F50</f>
        <v>MMM 2013</v>
      </c>
      <c r="AW53" s="46" t="str">
        <f>ZZZ__FnCalls!F51</f>
        <v>MMM 2013</v>
      </c>
      <c r="AX53" s="46" t="str">
        <f>ZZZ__FnCalls!F52</f>
        <v>MMM 2013</v>
      </c>
      <c r="AY53" s="46" t="str">
        <f>ZZZ__FnCalls!F53</f>
        <v>MMM 2013</v>
      </c>
      <c r="AZ53" s="46" t="str">
        <f>ZZZ__FnCalls!F54</f>
        <v>MMM 2013</v>
      </c>
      <c r="BA53" s="47" t="str">
        <f>ZZZ__FnCalls!F43</f>
        <v>MMM 2013</v>
      </c>
      <c r="BB53" s="46" t="str">
        <f>ZZZ__FnCalls!F55</f>
        <v>MMM 2014</v>
      </c>
      <c r="BC53" s="46" t="str">
        <f>ZZZ__FnCalls!F56</f>
        <v>MMM 2014</v>
      </c>
      <c r="BD53" s="46" t="str">
        <f>ZZZ__FnCalls!F57</f>
        <v>MMM 2014</v>
      </c>
      <c r="BE53" s="46" t="str">
        <f>ZZZ__FnCalls!F58</f>
        <v>MMM 2014</v>
      </c>
      <c r="BF53" s="46" t="str">
        <f>ZZZ__FnCalls!F59</f>
        <v>MMM 2014</v>
      </c>
      <c r="BG53" s="46" t="str">
        <f>ZZZ__FnCalls!F60</f>
        <v>MMM 2014</v>
      </c>
      <c r="BH53" s="46" t="str">
        <f>ZZZ__FnCalls!F61</f>
        <v>MMM 2014</v>
      </c>
      <c r="BI53" s="46" t="str">
        <f>ZZZ__FnCalls!F62</f>
        <v>MMM 2014</v>
      </c>
      <c r="BJ53" s="46" t="str">
        <f>ZZZ__FnCalls!F63</f>
        <v>MMM 2014</v>
      </c>
      <c r="BK53" s="46" t="str">
        <f>ZZZ__FnCalls!F64</f>
        <v>MMM 2014</v>
      </c>
      <c r="BL53" s="46" t="str">
        <f>ZZZ__FnCalls!F65</f>
        <v>MMM 2014</v>
      </c>
      <c r="BM53" s="46" t="str">
        <f>ZZZ__FnCalls!F66</f>
        <v>MMM 2014</v>
      </c>
      <c r="BN53" s="47" t="str">
        <f>ZZZ__FnCalls!F55</f>
        <v>MMM 2014</v>
      </c>
      <c r="BO53" s="46" t="str">
        <f>ZZZ__FnCalls!F67</f>
        <v>MMM 2015</v>
      </c>
      <c r="BP53" s="46" t="str">
        <f>ZZZ__FnCalls!F68</f>
        <v>MMM 2015</v>
      </c>
      <c r="BQ53" s="46" t="str">
        <f>ZZZ__FnCalls!F69</f>
        <v>MMM 2015</v>
      </c>
      <c r="BR53" s="46" t="str">
        <f>ZZZ__FnCalls!F70</f>
        <v>MMM 2015</v>
      </c>
      <c r="BS53" s="46" t="str">
        <f>ZZZ__FnCalls!F71</f>
        <v>MMM 2015</v>
      </c>
      <c r="BT53" s="46" t="str">
        <f>ZZZ__FnCalls!F72</f>
        <v>MMM 2015</v>
      </c>
      <c r="BU53" s="46" t="str">
        <f>ZZZ__FnCalls!F73</f>
        <v>MMM 2015</v>
      </c>
      <c r="BV53" s="46" t="str">
        <f>ZZZ__FnCalls!F74</f>
        <v>MMM 2015</v>
      </c>
      <c r="BW53" s="46" t="str">
        <f>ZZZ__FnCalls!F75</f>
        <v>MMM 2015</v>
      </c>
      <c r="BX53" s="46" t="str">
        <f>ZZZ__FnCalls!F76</f>
        <v>MMM 2015</v>
      </c>
      <c r="BY53" s="46" t="str">
        <f>ZZZ__FnCalls!F77</f>
        <v>MMM 2015</v>
      </c>
      <c r="BZ53" s="46" t="str">
        <f>ZZZ__FnCalls!F78</f>
        <v>MMM 2015</v>
      </c>
      <c r="CA53" s="47" t="str">
        <f>ZZZ__FnCalls!F67</f>
        <v>MMM 2015</v>
      </c>
      <c r="CB53" s="46" t="str">
        <f>ZZZ__FnCalls!F79</f>
        <v>MMM 2016</v>
      </c>
      <c r="CC53" s="46" t="str">
        <f>ZZZ__FnCalls!F80</f>
        <v>MMM 2016</v>
      </c>
      <c r="CD53" s="46" t="str">
        <f>ZZZ__FnCalls!F81</f>
        <v>MMM 2016</v>
      </c>
      <c r="CE53" s="46" t="str">
        <f>ZZZ__FnCalls!F82</f>
        <v>MMM 2016</v>
      </c>
      <c r="CF53" s="46" t="str">
        <f>ZZZ__FnCalls!F83</f>
        <v>MMM 2016</v>
      </c>
      <c r="CG53" s="46" t="str">
        <f>ZZZ__FnCalls!F84</f>
        <v>MMM 2016</v>
      </c>
      <c r="CH53" s="46" t="str">
        <f>ZZZ__FnCalls!F85</f>
        <v>MMM 2016</v>
      </c>
      <c r="CI53" s="46" t="str">
        <f>ZZZ__FnCalls!F86</f>
        <v>MMM 2016</v>
      </c>
      <c r="CJ53" s="46" t="str">
        <f>ZZZ__FnCalls!F87</f>
        <v>MMM 2016</v>
      </c>
      <c r="CK53" s="46" t="str">
        <f>ZZZ__FnCalls!F88</f>
        <v>MMM 2016</v>
      </c>
      <c r="CL53" s="46" t="str">
        <f>ZZZ__FnCalls!F89</f>
        <v>MMM 2016</v>
      </c>
      <c r="CM53" s="46" t="str">
        <f>ZZZ__FnCalls!F90</f>
        <v>MMM 2016</v>
      </c>
      <c r="CN53" s="47" t="str">
        <f>ZZZ__FnCalls!F79</f>
        <v>MMM 2016</v>
      </c>
      <c r="CO53" s="46" t="str">
        <f>ZZZ__FnCalls!F91</f>
        <v>MMM 2017</v>
      </c>
      <c r="CP53" s="46" t="str">
        <f>ZZZ__FnCalls!F92</f>
        <v>MMM 2017</v>
      </c>
      <c r="CQ53" s="46" t="str">
        <f>ZZZ__FnCalls!F93</f>
        <v>MMM 2017</v>
      </c>
      <c r="CR53" s="46" t="str">
        <f>ZZZ__FnCalls!F94</f>
        <v>MMM 2017</v>
      </c>
      <c r="CS53" s="46" t="str">
        <f>ZZZ__FnCalls!F95</f>
        <v>MMM 2017</v>
      </c>
      <c r="CT53" s="46" t="str">
        <f>ZZZ__FnCalls!F96</f>
        <v>MMM 2017</v>
      </c>
      <c r="CU53" s="46" t="str">
        <f>ZZZ__FnCalls!F97</f>
        <v>MMM 2017</v>
      </c>
      <c r="CV53" s="46" t="str">
        <f>ZZZ__FnCalls!F98</f>
        <v>MMM 2017</v>
      </c>
      <c r="CW53" s="46" t="str">
        <f>ZZZ__FnCalls!F99</f>
        <v>MMM 2017</v>
      </c>
      <c r="CX53" s="46" t="str">
        <f>ZZZ__FnCalls!F100</f>
        <v>MMM 2017</v>
      </c>
      <c r="CY53" s="46" t="str">
        <f>ZZZ__FnCalls!F101</f>
        <v>MMM 2017</v>
      </c>
      <c r="CZ53" s="46" t="str">
        <f>ZZZ__FnCalls!F102</f>
        <v>MMM 2017</v>
      </c>
      <c r="DA53" s="47" t="str">
        <f>ZZZ__FnCalls!F91</f>
        <v>MMM 2017</v>
      </c>
      <c r="DB53" s="46" t="str">
        <f>ZZZ__FnCalls!F103</f>
        <v>MMM 2018</v>
      </c>
      <c r="DC53" s="46" t="str">
        <f>ZZZ__FnCalls!F104</f>
        <v>MMM 2018</v>
      </c>
      <c r="DD53" s="46" t="str">
        <f>ZZZ__FnCalls!F105</f>
        <v>MMM 2018</v>
      </c>
      <c r="DE53" s="46" t="str">
        <f>ZZZ__FnCalls!F106</f>
        <v>MMM 2018</v>
      </c>
      <c r="DF53" s="46" t="str">
        <f>ZZZ__FnCalls!F107</f>
        <v>MMM 2018</v>
      </c>
      <c r="DG53" s="46" t="str">
        <f>ZZZ__FnCalls!F108</f>
        <v>MMM 2018</v>
      </c>
      <c r="DH53" s="46" t="str">
        <f>ZZZ__FnCalls!F109</f>
        <v>MMM 2018</v>
      </c>
      <c r="DI53" s="46" t="str">
        <f>ZZZ__FnCalls!F110</f>
        <v>MMM 2018</v>
      </c>
      <c r="DJ53" s="46" t="str">
        <f>ZZZ__FnCalls!F111</f>
        <v>MMM 2018</v>
      </c>
      <c r="DK53" s="46" t="str">
        <f>ZZZ__FnCalls!F112</f>
        <v>MMM 2018</v>
      </c>
      <c r="DL53" s="46" t="str">
        <f>ZZZ__FnCalls!F113</f>
        <v>MMM 2018</v>
      </c>
      <c r="DM53" s="46" t="str">
        <f>ZZZ__FnCalls!F114</f>
        <v>MMM 2018</v>
      </c>
      <c r="DN53" s="47" t="str">
        <f>ZZZ__FnCalls!F103</f>
        <v>MMM 2018</v>
      </c>
      <c r="DO53" s="46" t="str">
        <f>ZZZ__FnCalls!F115</f>
        <v>MMM 2019</v>
      </c>
      <c r="DP53" s="46" t="str">
        <f>ZZZ__FnCalls!F116</f>
        <v>MMM 2019</v>
      </c>
      <c r="DQ53" s="46" t="str">
        <f>ZZZ__FnCalls!F117</f>
        <v>MMM 2019</v>
      </c>
      <c r="DR53" s="46" t="str">
        <f>ZZZ__FnCalls!F118</f>
        <v>MMM 2019</v>
      </c>
      <c r="DS53" s="46" t="str">
        <f>ZZZ__FnCalls!F119</f>
        <v>MMM 2019</v>
      </c>
      <c r="DT53" s="46" t="str">
        <f>ZZZ__FnCalls!F120</f>
        <v>MMM 2019</v>
      </c>
      <c r="DU53" s="46" t="str">
        <f>ZZZ__FnCalls!F121</f>
        <v>MMM 2019</v>
      </c>
      <c r="DV53" s="46" t="str">
        <f>ZZZ__FnCalls!F122</f>
        <v>MMM 2019</v>
      </c>
      <c r="DW53" s="46" t="str">
        <f>ZZZ__FnCalls!F123</f>
        <v>MMM 2019</v>
      </c>
      <c r="DX53" s="46" t="str">
        <f>ZZZ__FnCalls!F124</f>
        <v>MMM 2019</v>
      </c>
      <c r="DY53" s="46" t="str">
        <f>ZZZ__FnCalls!F125</f>
        <v>MMM 2019</v>
      </c>
      <c r="DZ53" s="46" t="str">
        <f>ZZZ__FnCalls!F126</f>
        <v>MMM 2019</v>
      </c>
      <c r="EA53" s="47" t="str">
        <f>ZZZ__FnCalls!F115</f>
        <v>MMM 2019</v>
      </c>
      <c r="EB53" s="46" t="str">
        <f>ZZZ__FnCalls!F127</f>
        <v>MMM 2020</v>
      </c>
      <c r="EC53" s="46" t="str">
        <f>ZZZ__FnCalls!F128</f>
        <v>MMM 2020</v>
      </c>
      <c r="ED53" s="46" t="str">
        <f>ZZZ__FnCalls!F129</f>
        <v>MMM 2020</v>
      </c>
      <c r="EE53" s="46" t="str">
        <f>ZZZ__FnCalls!F130</f>
        <v>MMM 2020</v>
      </c>
      <c r="EF53" s="46" t="str">
        <f>ZZZ__FnCalls!F131</f>
        <v>MMM 2020</v>
      </c>
      <c r="EG53" s="46" t="str">
        <f>ZZZ__FnCalls!F132</f>
        <v>MMM 2020</v>
      </c>
      <c r="EH53" s="46" t="str">
        <f>ZZZ__FnCalls!F133</f>
        <v>MMM 2020</v>
      </c>
      <c r="EI53" s="46" t="str">
        <f>ZZZ__FnCalls!F134</f>
        <v>MMM 2020</v>
      </c>
      <c r="EJ53" s="46" t="str">
        <f>ZZZ__FnCalls!F135</f>
        <v>MMM 2020</v>
      </c>
      <c r="EK53" s="46" t="str">
        <f>ZZZ__FnCalls!F136</f>
        <v>MMM 2020</v>
      </c>
      <c r="EL53" s="46" t="str">
        <f>ZZZ__FnCalls!F137</f>
        <v>MMM 2020</v>
      </c>
      <c r="EM53" s="46" t="str">
        <f>ZZZ__FnCalls!F138</f>
        <v>MMM 2020</v>
      </c>
      <c r="EN53" s="47" t="str">
        <f>ZZZ__FnCalls!F127</f>
        <v>MMM 2020</v>
      </c>
    </row>
    <row r="54" spans="1:144" ht="12.75" customHeight="1" x14ac:dyDescent="0.2">
      <c r="A54" s="2" t="str">
        <f>"Employment_Desired_1"</f>
        <v>Employment_Desired_1</v>
      </c>
    </row>
    <row r="55" spans="1:144" ht="12.75" customHeight="1" x14ac:dyDescent="0.2">
      <c r="B55" s="19" t="str">
        <f>ZZZ__FnCalls!F7</f>
        <v>MMM 2010</v>
      </c>
      <c r="C55" s="20" t="str">
        <f>ZZZ__FnCalls!F8</f>
        <v>MMM 2010</v>
      </c>
      <c r="D55" s="20" t="str">
        <f>ZZZ__FnCalls!F9</f>
        <v>MMM 2010</v>
      </c>
      <c r="E55" s="20" t="str">
        <f>ZZZ__FnCalls!F10</f>
        <v>MMM 2010</v>
      </c>
      <c r="F55" s="20" t="str">
        <f>ZZZ__FnCalls!F11</f>
        <v>MMM 2010</v>
      </c>
      <c r="G55" s="20" t="str">
        <f>ZZZ__FnCalls!F12</f>
        <v>MMM 2010</v>
      </c>
      <c r="H55" s="20" t="str">
        <f>ZZZ__FnCalls!F13</f>
        <v>MMM 2010</v>
      </c>
      <c r="I55" s="20" t="str">
        <f>ZZZ__FnCalls!F14</f>
        <v>MMM 2010</v>
      </c>
      <c r="J55" s="20" t="str">
        <f>ZZZ__FnCalls!F15</f>
        <v>MMM 2010</v>
      </c>
      <c r="K55" s="20" t="str">
        <f>ZZZ__FnCalls!F16</f>
        <v>MMM 2010</v>
      </c>
      <c r="L55" s="20" t="str">
        <f>ZZZ__FnCalls!F17</f>
        <v>MMM 2010</v>
      </c>
      <c r="M55" s="20" t="str">
        <f>ZZZ__FnCalls!F18</f>
        <v>MMM 2010</v>
      </c>
      <c r="N55" s="21" t="str">
        <f>ZZZ__FnCalls!H7</f>
        <v>2010</v>
      </c>
      <c r="O55" s="20" t="str">
        <f>ZZZ__FnCalls!F19</f>
        <v>MMM 2011</v>
      </c>
      <c r="P55" s="20" t="str">
        <f>ZZZ__FnCalls!F20</f>
        <v>MMM 2011</v>
      </c>
      <c r="Q55" s="20" t="str">
        <f>ZZZ__FnCalls!F21</f>
        <v>MMM 2011</v>
      </c>
      <c r="R55" s="20" t="str">
        <f>ZZZ__FnCalls!F22</f>
        <v>MMM 2011</v>
      </c>
      <c r="S55" s="20" t="str">
        <f>ZZZ__FnCalls!F23</f>
        <v>MMM 2011</v>
      </c>
      <c r="T55" s="20" t="str">
        <f>ZZZ__FnCalls!F24</f>
        <v>MMM 2011</v>
      </c>
      <c r="U55" s="20" t="str">
        <f>ZZZ__FnCalls!F25</f>
        <v>MMM 2011</v>
      </c>
      <c r="V55" s="20" t="str">
        <f>ZZZ__FnCalls!F26</f>
        <v>MMM 2011</v>
      </c>
      <c r="W55" s="20" t="str">
        <f>ZZZ__FnCalls!F27</f>
        <v>MMM 2011</v>
      </c>
      <c r="X55" s="20" t="str">
        <f>ZZZ__FnCalls!F28</f>
        <v>MMM 2011</v>
      </c>
      <c r="Y55" s="20" t="str">
        <f>ZZZ__FnCalls!F29</f>
        <v>MMM 2011</v>
      </c>
      <c r="Z55" s="20" t="str">
        <f>ZZZ__FnCalls!F30</f>
        <v>MMM 2011</v>
      </c>
      <c r="AA55" s="21" t="str">
        <f>ZZZ__FnCalls!H19</f>
        <v>2011</v>
      </c>
      <c r="AB55" s="20" t="str">
        <f>ZZZ__FnCalls!F31</f>
        <v>MMM 2012</v>
      </c>
      <c r="AC55" s="20" t="str">
        <f>ZZZ__FnCalls!F32</f>
        <v>MMM 2012</v>
      </c>
      <c r="AD55" s="20" t="str">
        <f>ZZZ__FnCalls!F33</f>
        <v>MMM 2012</v>
      </c>
      <c r="AE55" s="20" t="str">
        <f>ZZZ__FnCalls!F34</f>
        <v>MMM 2012</v>
      </c>
      <c r="AF55" s="20" t="str">
        <f>ZZZ__FnCalls!F35</f>
        <v>MMM 2012</v>
      </c>
      <c r="AG55" s="20" t="str">
        <f>ZZZ__FnCalls!F36</f>
        <v>MMM 2012</v>
      </c>
      <c r="AH55" s="20" t="str">
        <f>ZZZ__FnCalls!F37</f>
        <v>MMM 2012</v>
      </c>
      <c r="AI55" s="20" t="str">
        <f>ZZZ__FnCalls!F38</f>
        <v>MMM 2012</v>
      </c>
      <c r="AJ55" s="20" t="str">
        <f>ZZZ__FnCalls!F39</f>
        <v>MMM 2012</v>
      </c>
      <c r="AK55" s="20" t="str">
        <f>ZZZ__FnCalls!F40</f>
        <v>MMM 2012</v>
      </c>
      <c r="AL55" s="20" t="str">
        <f>ZZZ__FnCalls!F41</f>
        <v>MMM 2012</v>
      </c>
      <c r="AM55" s="20" t="str">
        <f>ZZZ__FnCalls!F42</f>
        <v>MMM 2012</v>
      </c>
      <c r="AN55" s="21" t="str">
        <f>ZZZ__FnCalls!H31</f>
        <v>2012</v>
      </c>
      <c r="AO55" s="20" t="str">
        <f>ZZZ__FnCalls!F43</f>
        <v>MMM 2013</v>
      </c>
      <c r="AP55" s="20" t="str">
        <f>ZZZ__FnCalls!F44</f>
        <v>MMM 2013</v>
      </c>
      <c r="AQ55" s="20" t="str">
        <f>ZZZ__FnCalls!F45</f>
        <v>MMM 2013</v>
      </c>
      <c r="AR55" s="20" t="str">
        <f>ZZZ__FnCalls!F46</f>
        <v>MMM 2013</v>
      </c>
      <c r="AS55" s="20" t="str">
        <f>ZZZ__FnCalls!F47</f>
        <v>MMM 2013</v>
      </c>
      <c r="AT55" s="20" t="str">
        <f>ZZZ__FnCalls!F48</f>
        <v>MMM 2013</v>
      </c>
      <c r="AU55" s="20" t="str">
        <f>ZZZ__FnCalls!F49</f>
        <v>MMM 2013</v>
      </c>
      <c r="AV55" s="20" t="str">
        <f>ZZZ__FnCalls!F50</f>
        <v>MMM 2013</v>
      </c>
      <c r="AW55" s="20" t="str">
        <f>ZZZ__FnCalls!F51</f>
        <v>MMM 2013</v>
      </c>
      <c r="AX55" s="20" t="str">
        <f>ZZZ__FnCalls!F52</f>
        <v>MMM 2013</v>
      </c>
      <c r="AY55" s="20" t="str">
        <f>ZZZ__FnCalls!F53</f>
        <v>MMM 2013</v>
      </c>
      <c r="AZ55" s="20" t="str">
        <f>ZZZ__FnCalls!F54</f>
        <v>MMM 2013</v>
      </c>
      <c r="BA55" s="21" t="str">
        <f>ZZZ__FnCalls!H43</f>
        <v>2013</v>
      </c>
      <c r="BB55" s="20" t="str">
        <f>ZZZ__FnCalls!F55</f>
        <v>MMM 2014</v>
      </c>
      <c r="BC55" s="20" t="str">
        <f>ZZZ__FnCalls!F56</f>
        <v>MMM 2014</v>
      </c>
      <c r="BD55" s="20" t="str">
        <f>ZZZ__FnCalls!F57</f>
        <v>MMM 2014</v>
      </c>
      <c r="BE55" s="20" t="str">
        <f>ZZZ__FnCalls!F58</f>
        <v>MMM 2014</v>
      </c>
      <c r="BF55" s="20" t="str">
        <f>ZZZ__FnCalls!F59</f>
        <v>MMM 2014</v>
      </c>
      <c r="BG55" s="20" t="str">
        <f>ZZZ__FnCalls!F60</f>
        <v>MMM 2014</v>
      </c>
      <c r="BH55" s="20" t="str">
        <f>ZZZ__FnCalls!F61</f>
        <v>MMM 2014</v>
      </c>
      <c r="BI55" s="20" t="str">
        <f>ZZZ__FnCalls!F62</f>
        <v>MMM 2014</v>
      </c>
      <c r="BJ55" s="20" t="str">
        <f>ZZZ__FnCalls!F63</f>
        <v>MMM 2014</v>
      </c>
      <c r="BK55" s="20" t="str">
        <f>ZZZ__FnCalls!F64</f>
        <v>MMM 2014</v>
      </c>
      <c r="BL55" s="20" t="str">
        <f>ZZZ__FnCalls!F65</f>
        <v>MMM 2014</v>
      </c>
      <c r="BM55" s="20" t="str">
        <f>ZZZ__FnCalls!F66</f>
        <v>MMM 2014</v>
      </c>
      <c r="BN55" s="21" t="str">
        <f>ZZZ__FnCalls!H55</f>
        <v>2014</v>
      </c>
      <c r="BO55" s="20" t="str">
        <f>ZZZ__FnCalls!F67</f>
        <v>MMM 2015</v>
      </c>
      <c r="BP55" s="20" t="str">
        <f>ZZZ__FnCalls!F68</f>
        <v>MMM 2015</v>
      </c>
      <c r="BQ55" s="20" t="str">
        <f>ZZZ__FnCalls!F69</f>
        <v>MMM 2015</v>
      </c>
      <c r="BR55" s="20" t="str">
        <f>ZZZ__FnCalls!F70</f>
        <v>MMM 2015</v>
      </c>
      <c r="BS55" s="20" t="str">
        <f>ZZZ__FnCalls!F71</f>
        <v>MMM 2015</v>
      </c>
      <c r="BT55" s="20" t="str">
        <f>ZZZ__FnCalls!F72</f>
        <v>MMM 2015</v>
      </c>
      <c r="BU55" s="20" t="str">
        <f>ZZZ__FnCalls!F73</f>
        <v>MMM 2015</v>
      </c>
      <c r="BV55" s="20" t="str">
        <f>ZZZ__FnCalls!F74</f>
        <v>MMM 2015</v>
      </c>
      <c r="BW55" s="20" t="str">
        <f>ZZZ__FnCalls!F75</f>
        <v>MMM 2015</v>
      </c>
      <c r="BX55" s="20" t="str">
        <f>ZZZ__FnCalls!F76</f>
        <v>MMM 2015</v>
      </c>
      <c r="BY55" s="20" t="str">
        <f>ZZZ__FnCalls!F77</f>
        <v>MMM 2015</v>
      </c>
      <c r="BZ55" s="20" t="str">
        <f>ZZZ__FnCalls!F78</f>
        <v>MMM 2015</v>
      </c>
      <c r="CA55" s="21" t="str">
        <f>ZZZ__FnCalls!H67</f>
        <v>2015</v>
      </c>
      <c r="CB55" s="20" t="str">
        <f>ZZZ__FnCalls!F79</f>
        <v>MMM 2016</v>
      </c>
      <c r="CC55" s="20" t="str">
        <f>ZZZ__FnCalls!F80</f>
        <v>MMM 2016</v>
      </c>
      <c r="CD55" s="20" t="str">
        <f>ZZZ__FnCalls!F81</f>
        <v>MMM 2016</v>
      </c>
      <c r="CE55" s="20" t="str">
        <f>ZZZ__FnCalls!F82</f>
        <v>MMM 2016</v>
      </c>
      <c r="CF55" s="20" t="str">
        <f>ZZZ__FnCalls!F83</f>
        <v>MMM 2016</v>
      </c>
      <c r="CG55" s="20" t="str">
        <f>ZZZ__FnCalls!F84</f>
        <v>MMM 2016</v>
      </c>
      <c r="CH55" s="20" t="str">
        <f>ZZZ__FnCalls!F85</f>
        <v>MMM 2016</v>
      </c>
      <c r="CI55" s="20" t="str">
        <f>ZZZ__FnCalls!F86</f>
        <v>MMM 2016</v>
      </c>
      <c r="CJ55" s="20" t="str">
        <f>ZZZ__FnCalls!F87</f>
        <v>MMM 2016</v>
      </c>
      <c r="CK55" s="20" t="str">
        <f>ZZZ__FnCalls!F88</f>
        <v>MMM 2016</v>
      </c>
      <c r="CL55" s="20" t="str">
        <f>ZZZ__FnCalls!F89</f>
        <v>MMM 2016</v>
      </c>
      <c r="CM55" s="20" t="str">
        <f>ZZZ__FnCalls!F90</f>
        <v>MMM 2016</v>
      </c>
      <c r="CN55" s="21" t="str">
        <f>ZZZ__FnCalls!H79</f>
        <v>2016</v>
      </c>
      <c r="CO55" s="20" t="str">
        <f>ZZZ__FnCalls!F91</f>
        <v>MMM 2017</v>
      </c>
      <c r="CP55" s="20" t="str">
        <f>ZZZ__FnCalls!F92</f>
        <v>MMM 2017</v>
      </c>
      <c r="CQ55" s="20" t="str">
        <f>ZZZ__FnCalls!F93</f>
        <v>MMM 2017</v>
      </c>
      <c r="CR55" s="20" t="str">
        <f>ZZZ__FnCalls!F94</f>
        <v>MMM 2017</v>
      </c>
      <c r="CS55" s="20" t="str">
        <f>ZZZ__FnCalls!F95</f>
        <v>MMM 2017</v>
      </c>
      <c r="CT55" s="20" t="str">
        <f>ZZZ__FnCalls!F96</f>
        <v>MMM 2017</v>
      </c>
      <c r="CU55" s="20" t="str">
        <f>ZZZ__FnCalls!F97</f>
        <v>MMM 2017</v>
      </c>
      <c r="CV55" s="20" t="str">
        <f>ZZZ__FnCalls!F98</f>
        <v>MMM 2017</v>
      </c>
      <c r="CW55" s="20" t="str">
        <f>ZZZ__FnCalls!F99</f>
        <v>MMM 2017</v>
      </c>
      <c r="CX55" s="20" t="str">
        <f>ZZZ__FnCalls!F100</f>
        <v>MMM 2017</v>
      </c>
      <c r="CY55" s="20" t="str">
        <f>ZZZ__FnCalls!F101</f>
        <v>MMM 2017</v>
      </c>
      <c r="CZ55" s="20" t="str">
        <f>ZZZ__FnCalls!F102</f>
        <v>MMM 2017</v>
      </c>
      <c r="DA55" s="21" t="str">
        <f>ZZZ__FnCalls!H91</f>
        <v>2017</v>
      </c>
      <c r="DB55" s="20" t="str">
        <f>ZZZ__FnCalls!F103</f>
        <v>MMM 2018</v>
      </c>
      <c r="DC55" s="20" t="str">
        <f>ZZZ__FnCalls!F104</f>
        <v>MMM 2018</v>
      </c>
      <c r="DD55" s="20" t="str">
        <f>ZZZ__FnCalls!F105</f>
        <v>MMM 2018</v>
      </c>
      <c r="DE55" s="20" t="str">
        <f>ZZZ__FnCalls!F106</f>
        <v>MMM 2018</v>
      </c>
      <c r="DF55" s="20" t="str">
        <f>ZZZ__FnCalls!F107</f>
        <v>MMM 2018</v>
      </c>
      <c r="DG55" s="20" t="str">
        <f>ZZZ__FnCalls!F108</f>
        <v>MMM 2018</v>
      </c>
      <c r="DH55" s="20" t="str">
        <f>ZZZ__FnCalls!F109</f>
        <v>MMM 2018</v>
      </c>
      <c r="DI55" s="20" t="str">
        <f>ZZZ__FnCalls!F110</f>
        <v>MMM 2018</v>
      </c>
      <c r="DJ55" s="20" t="str">
        <f>ZZZ__FnCalls!F111</f>
        <v>MMM 2018</v>
      </c>
      <c r="DK55" s="20" t="str">
        <f>ZZZ__FnCalls!F112</f>
        <v>MMM 2018</v>
      </c>
      <c r="DL55" s="20" t="str">
        <f>ZZZ__FnCalls!F113</f>
        <v>MMM 2018</v>
      </c>
      <c r="DM55" s="20" t="str">
        <f>ZZZ__FnCalls!F114</f>
        <v>MMM 2018</v>
      </c>
      <c r="DN55" s="21" t="str">
        <f>ZZZ__FnCalls!H103</f>
        <v>2018</v>
      </c>
      <c r="DO55" s="20" t="str">
        <f>ZZZ__FnCalls!F115</f>
        <v>MMM 2019</v>
      </c>
      <c r="DP55" s="20" t="str">
        <f>ZZZ__FnCalls!F116</f>
        <v>MMM 2019</v>
      </c>
      <c r="DQ55" s="20" t="str">
        <f>ZZZ__FnCalls!F117</f>
        <v>MMM 2019</v>
      </c>
      <c r="DR55" s="20" t="str">
        <f>ZZZ__FnCalls!F118</f>
        <v>MMM 2019</v>
      </c>
      <c r="DS55" s="20" t="str">
        <f>ZZZ__FnCalls!F119</f>
        <v>MMM 2019</v>
      </c>
      <c r="DT55" s="20" t="str">
        <f>ZZZ__FnCalls!F120</f>
        <v>MMM 2019</v>
      </c>
      <c r="DU55" s="20" t="str">
        <f>ZZZ__FnCalls!F121</f>
        <v>MMM 2019</v>
      </c>
      <c r="DV55" s="20" t="str">
        <f>ZZZ__FnCalls!F122</f>
        <v>MMM 2019</v>
      </c>
      <c r="DW55" s="20" t="str">
        <f>ZZZ__FnCalls!F123</f>
        <v>MMM 2019</v>
      </c>
      <c r="DX55" s="20" t="str">
        <f>ZZZ__FnCalls!F124</f>
        <v>MMM 2019</v>
      </c>
      <c r="DY55" s="20" t="str">
        <f>ZZZ__FnCalls!F125</f>
        <v>MMM 2019</v>
      </c>
      <c r="DZ55" s="20" t="str">
        <f>ZZZ__FnCalls!F126</f>
        <v>MMM 2019</v>
      </c>
      <c r="EA55" s="21" t="str">
        <f>ZZZ__FnCalls!H115</f>
        <v>2019</v>
      </c>
      <c r="EB55" s="20" t="str">
        <f>ZZZ__FnCalls!F127</f>
        <v>MMM 2020</v>
      </c>
      <c r="EC55" s="20" t="str">
        <f>ZZZ__FnCalls!F128</f>
        <v>MMM 2020</v>
      </c>
      <c r="ED55" s="20" t="str">
        <f>ZZZ__FnCalls!F129</f>
        <v>MMM 2020</v>
      </c>
      <c r="EE55" s="20" t="str">
        <f>ZZZ__FnCalls!F130</f>
        <v>MMM 2020</v>
      </c>
      <c r="EF55" s="20" t="str">
        <f>ZZZ__FnCalls!F131</f>
        <v>MMM 2020</v>
      </c>
      <c r="EG55" s="20" t="str">
        <f>ZZZ__FnCalls!F132</f>
        <v>MMM 2020</v>
      </c>
      <c r="EH55" s="20" t="str">
        <f>ZZZ__FnCalls!F133</f>
        <v>MMM 2020</v>
      </c>
      <c r="EI55" s="20" t="str">
        <f>ZZZ__FnCalls!F134</f>
        <v>MMM 2020</v>
      </c>
      <c r="EJ55" s="20" t="str">
        <f>ZZZ__FnCalls!F135</f>
        <v>MMM 2020</v>
      </c>
      <c r="EK55" s="20" t="str">
        <f>ZZZ__FnCalls!F136</f>
        <v>MMM 2020</v>
      </c>
      <c r="EL55" s="20" t="str">
        <f>ZZZ__FnCalls!F137</f>
        <v>MMM 2020</v>
      </c>
      <c r="EM55" s="20" t="str">
        <f>ZZZ__FnCalls!F138</f>
        <v>MMM 2020</v>
      </c>
      <c r="EN55" s="21" t="str">
        <f>ZZZ__FnCalls!H127</f>
        <v>2020</v>
      </c>
    </row>
    <row r="56" spans="1:144" ht="12.75" customHeight="1" x14ac:dyDescent="0.2">
      <c r="A56" s="5"/>
      <c r="B56" s="46">
        <f>ZZZ__FnCalls!A7</f>
        <v>40179</v>
      </c>
      <c r="C56" s="46">
        <f>ZZZ__FnCalls!A8</f>
        <v>40210</v>
      </c>
      <c r="D56" s="46">
        <f>ZZZ__FnCalls!A9</f>
        <v>40238</v>
      </c>
      <c r="E56" s="46">
        <f>ZZZ__FnCalls!A10</f>
        <v>40269</v>
      </c>
      <c r="F56" s="46">
        <f>ZZZ__FnCalls!A11</f>
        <v>40299</v>
      </c>
      <c r="G56" s="46">
        <f>ZZZ__FnCalls!A12</f>
        <v>40330</v>
      </c>
      <c r="H56" s="46">
        <f>ZZZ__FnCalls!A13</f>
        <v>40360</v>
      </c>
      <c r="I56" s="46">
        <f>ZZZ__FnCalls!A14</f>
        <v>40391</v>
      </c>
      <c r="J56" s="46">
        <f>ZZZ__FnCalls!A15</f>
        <v>40422</v>
      </c>
      <c r="K56" s="46">
        <f>ZZZ__FnCalls!A16</f>
        <v>40452</v>
      </c>
      <c r="L56" s="46">
        <f>ZZZ__FnCalls!A17</f>
        <v>40483</v>
      </c>
      <c r="M56" s="46">
        <f>ZZZ__FnCalls!A18</f>
        <v>40513</v>
      </c>
      <c r="N56" s="47">
        <f>ZZZ__FnCalls!A7</f>
        <v>40179</v>
      </c>
      <c r="O56" s="46">
        <f>ZZZ__FnCalls!A19</f>
        <v>40544</v>
      </c>
      <c r="P56" s="46">
        <f>ZZZ__FnCalls!A20</f>
        <v>40575</v>
      </c>
      <c r="Q56" s="46">
        <f>ZZZ__FnCalls!A21</f>
        <v>40603</v>
      </c>
      <c r="R56" s="46">
        <f>ZZZ__FnCalls!A22</f>
        <v>40634</v>
      </c>
      <c r="S56" s="46">
        <f>ZZZ__FnCalls!A23</f>
        <v>40664</v>
      </c>
      <c r="T56" s="46">
        <f>ZZZ__FnCalls!A24</f>
        <v>40695</v>
      </c>
      <c r="U56" s="46">
        <f>ZZZ__FnCalls!A25</f>
        <v>40725</v>
      </c>
      <c r="V56" s="46">
        <f>ZZZ__FnCalls!A26</f>
        <v>40756</v>
      </c>
      <c r="W56" s="46">
        <f>ZZZ__FnCalls!A27</f>
        <v>40787</v>
      </c>
      <c r="X56" s="46">
        <f>ZZZ__FnCalls!A28</f>
        <v>40817</v>
      </c>
      <c r="Y56" s="46">
        <f>ZZZ__FnCalls!A29</f>
        <v>40848</v>
      </c>
      <c r="Z56" s="46">
        <f>ZZZ__FnCalls!A30</f>
        <v>40878</v>
      </c>
      <c r="AA56" s="47">
        <f>ZZZ__FnCalls!A19</f>
        <v>40544</v>
      </c>
      <c r="AB56" s="46">
        <f>ZZZ__FnCalls!A31</f>
        <v>40909</v>
      </c>
      <c r="AC56" s="46">
        <f>ZZZ__FnCalls!A32</f>
        <v>40940</v>
      </c>
      <c r="AD56" s="46">
        <f>ZZZ__FnCalls!A33</f>
        <v>40969</v>
      </c>
      <c r="AE56" s="46">
        <f>ZZZ__FnCalls!A34</f>
        <v>41000</v>
      </c>
      <c r="AF56" s="46">
        <f>ZZZ__FnCalls!A35</f>
        <v>41030</v>
      </c>
      <c r="AG56" s="46">
        <f>ZZZ__FnCalls!A36</f>
        <v>41061</v>
      </c>
      <c r="AH56" s="46">
        <f>ZZZ__FnCalls!A37</f>
        <v>41091</v>
      </c>
      <c r="AI56" s="46">
        <f>ZZZ__FnCalls!A38</f>
        <v>41122</v>
      </c>
      <c r="AJ56" s="46">
        <f>ZZZ__FnCalls!A39</f>
        <v>41153</v>
      </c>
      <c r="AK56" s="46">
        <f>ZZZ__FnCalls!A40</f>
        <v>41183</v>
      </c>
      <c r="AL56" s="46">
        <f>ZZZ__FnCalls!A41</f>
        <v>41214</v>
      </c>
      <c r="AM56" s="46">
        <f>ZZZ__FnCalls!A42</f>
        <v>41244</v>
      </c>
      <c r="AN56" s="47">
        <f>ZZZ__FnCalls!A31</f>
        <v>40909</v>
      </c>
      <c r="AO56" s="46">
        <f>ZZZ__FnCalls!A43</f>
        <v>41275</v>
      </c>
      <c r="AP56" s="46">
        <f>ZZZ__FnCalls!A44</f>
        <v>41306</v>
      </c>
      <c r="AQ56" s="46">
        <f>ZZZ__FnCalls!A45</f>
        <v>41334</v>
      </c>
      <c r="AR56" s="46">
        <f>ZZZ__FnCalls!A46</f>
        <v>41365</v>
      </c>
      <c r="AS56" s="46">
        <f>ZZZ__FnCalls!A47</f>
        <v>41395</v>
      </c>
      <c r="AT56" s="46">
        <f>ZZZ__FnCalls!A48</f>
        <v>41426</v>
      </c>
      <c r="AU56" s="46">
        <f>ZZZ__FnCalls!A49</f>
        <v>41456</v>
      </c>
      <c r="AV56" s="46">
        <f>ZZZ__FnCalls!A50</f>
        <v>41487</v>
      </c>
      <c r="AW56" s="46">
        <f>ZZZ__FnCalls!A51</f>
        <v>41518</v>
      </c>
      <c r="AX56" s="46">
        <f>ZZZ__FnCalls!A52</f>
        <v>41548</v>
      </c>
      <c r="AY56" s="46">
        <f>ZZZ__FnCalls!A53</f>
        <v>41579</v>
      </c>
      <c r="AZ56" s="46">
        <f>ZZZ__FnCalls!A54</f>
        <v>41609</v>
      </c>
      <c r="BA56" s="47">
        <f>ZZZ__FnCalls!A43</f>
        <v>41275</v>
      </c>
      <c r="BB56" s="46">
        <f>ZZZ__FnCalls!A55</f>
        <v>41640</v>
      </c>
      <c r="BC56" s="46">
        <f>ZZZ__FnCalls!A56</f>
        <v>41671</v>
      </c>
      <c r="BD56" s="46">
        <f>ZZZ__FnCalls!A57</f>
        <v>41699</v>
      </c>
      <c r="BE56" s="46">
        <f>ZZZ__FnCalls!A58</f>
        <v>41730</v>
      </c>
      <c r="BF56" s="46">
        <f>ZZZ__FnCalls!A59</f>
        <v>41760</v>
      </c>
      <c r="BG56" s="46">
        <f>ZZZ__FnCalls!A60</f>
        <v>41791</v>
      </c>
      <c r="BH56" s="46">
        <f>ZZZ__FnCalls!A61</f>
        <v>41821</v>
      </c>
      <c r="BI56" s="46">
        <f>ZZZ__FnCalls!A62</f>
        <v>41852</v>
      </c>
      <c r="BJ56" s="46">
        <f>ZZZ__FnCalls!A63</f>
        <v>41883</v>
      </c>
      <c r="BK56" s="46">
        <f>ZZZ__FnCalls!A64</f>
        <v>41913</v>
      </c>
      <c r="BL56" s="46">
        <f>ZZZ__FnCalls!A65</f>
        <v>41944</v>
      </c>
      <c r="BM56" s="46">
        <f>ZZZ__FnCalls!A66</f>
        <v>41974</v>
      </c>
      <c r="BN56" s="47">
        <f>ZZZ__FnCalls!A55</f>
        <v>41640</v>
      </c>
      <c r="BO56" s="46">
        <f>ZZZ__FnCalls!A67</f>
        <v>42005</v>
      </c>
      <c r="BP56" s="46">
        <f>ZZZ__FnCalls!A68</f>
        <v>42036</v>
      </c>
      <c r="BQ56" s="46">
        <f>ZZZ__FnCalls!A69</f>
        <v>42064</v>
      </c>
      <c r="BR56" s="46">
        <f>ZZZ__FnCalls!A70</f>
        <v>42095</v>
      </c>
      <c r="BS56" s="46">
        <f>ZZZ__FnCalls!A71</f>
        <v>42125</v>
      </c>
      <c r="BT56" s="46">
        <f>ZZZ__FnCalls!A72</f>
        <v>42156</v>
      </c>
      <c r="BU56" s="46">
        <f>ZZZ__FnCalls!A73</f>
        <v>42186</v>
      </c>
      <c r="BV56" s="46">
        <f>ZZZ__FnCalls!A74</f>
        <v>42217</v>
      </c>
      <c r="BW56" s="46">
        <f>ZZZ__FnCalls!A75</f>
        <v>42248</v>
      </c>
      <c r="BX56" s="46">
        <f>ZZZ__FnCalls!A76</f>
        <v>42278</v>
      </c>
      <c r="BY56" s="46">
        <f>ZZZ__FnCalls!A77</f>
        <v>42309</v>
      </c>
      <c r="BZ56" s="46">
        <f>ZZZ__FnCalls!A78</f>
        <v>42339</v>
      </c>
      <c r="CA56" s="47">
        <f>ZZZ__FnCalls!A67</f>
        <v>42005</v>
      </c>
      <c r="CB56" s="46">
        <f>ZZZ__FnCalls!A79</f>
        <v>42370</v>
      </c>
      <c r="CC56" s="46">
        <f>ZZZ__FnCalls!A80</f>
        <v>42401</v>
      </c>
      <c r="CD56" s="46">
        <f>ZZZ__FnCalls!A81</f>
        <v>42430</v>
      </c>
      <c r="CE56" s="46">
        <f>ZZZ__FnCalls!A82</f>
        <v>42461</v>
      </c>
      <c r="CF56" s="46">
        <f>ZZZ__FnCalls!A83</f>
        <v>42491</v>
      </c>
      <c r="CG56" s="46">
        <f>ZZZ__FnCalls!A84</f>
        <v>42522</v>
      </c>
      <c r="CH56" s="46">
        <f>ZZZ__FnCalls!A85</f>
        <v>42552</v>
      </c>
      <c r="CI56" s="46">
        <f>ZZZ__FnCalls!A86</f>
        <v>42583</v>
      </c>
      <c r="CJ56" s="46">
        <f>ZZZ__FnCalls!A87</f>
        <v>42614</v>
      </c>
      <c r="CK56" s="46">
        <f>ZZZ__FnCalls!A88</f>
        <v>42644</v>
      </c>
      <c r="CL56" s="46">
        <f>ZZZ__FnCalls!A89</f>
        <v>42675</v>
      </c>
      <c r="CM56" s="46">
        <f>ZZZ__FnCalls!A90</f>
        <v>42705</v>
      </c>
      <c r="CN56" s="47">
        <f>ZZZ__FnCalls!A79</f>
        <v>42370</v>
      </c>
      <c r="CO56" s="46">
        <f>ZZZ__FnCalls!A91</f>
        <v>42736</v>
      </c>
      <c r="CP56" s="46">
        <f>ZZZ__FnCalls!A92</f>
        <v>42767</v>
      </c>
      <c r="CQ56" s="46">
        <f>ZZZ__FnCalls!A93</f>
        <v>42795</v>
      </c>
      <c r="CR56" s="46">
        <f>ZZZ__FnCalls!A94</f>
        <v>42826</v>
      </c>
      <c r="CS56" s="46">
        <f>ZZZ__FnCalls!A95</f>
        <v>42856</v>
      </c>
      <c r="CT56" s="46">
        <f>ZZZ__FnCalls!A96</f>
        <v>42887</v>
      </c>
      <c r="CU56" s="46">
        <f>ZZZ__FnCalls!A97</f>
        <v>42917</v>
      </c>
      <c r="CV56" s="46">
        <f>ZZZ__FnCalls!A98</f>
        <v>42948</v>
      </c>
      <c r="CW56" s="46">
        <f>ZZZ__FnCalls!A99</f>
        <v>42979</v>
      </c>
      <c r="CX56" s="46">
        <f>ZZZ__FnCalls!A100</f>
        <v>43009</v>
      </c>
      <c r="CY56" s="46">
        <f>ZZZ__FnCalls!A101</f>
        <v>43040</v>
      </c>
      <c r="CZ56" s="46">
        <f>ZZZ__FnCalls!A102</f>
        <v>43070</v>
      </c>
      <c r="DA56" s="47">
        <f>ZZZ__FnCalls!A91</f>
        <v>42736</v>
      </c>
      <c r="DB56" s="46">
        <f>ZZZ__FnCalls!A103</f>
        <v>43101</v>
      </c>
      <c r="DC56" s="46">
        <f>ZZZ__FnCalls!A104</f>
        <v>43132</v>
      </c>
      <c r="DD56" s="46">
        <f>ZZZ__FnCalls!A105</f>
        <v>43160</v>
      </c>
      <c r="DE56" s="46">
        <f>ZZZ__FnCalls!A106</f>
        <v>43191</v>
      </c>
      <c r="DF56" s="46">
        <f>ZZZ__FnCalls!A107</f>
        <v>43221</v>
      </c>
      <c r="DG56" s="46">
        <f>ZZZ__FnCalls!A108</f>
        <v>43252</v>
      </c>
      <c r="DH56" s="46">
        <f>ZZZ__FnCalls!A109</f>
        <v>43282</v>
      </c>
      <c r="DI56" s="46">
        <f>ZZZ__FnCalls!A110</f>
        <v>43313</v>
      </c>
      <c r="DJ56" s="46">
        <f>ZZZ__FnCalls!A111</f>
        <v>43344</v>
      </c>
      <c r="DK56" s="46">
        <f>ZZZ__FnCalls!A112</f>
        <v>43374</v>
      </c>
      <c r="DL56" s="46">
        <f>ZZZ__FnCalls!A113</f>
        <v>43405</v>
      </c>
      <c r="DM56" s="46">
        <f>ZZZ__FnCalls!A114</f>
        <v>43435</v>
      </c>
      <c r="DN56" s="47">
        <f>ZZZ__FnCalls!A103</f>
        <v>43101</v>
      </c>
      <c r="DO56" s="46">
        <f>ZZZ__FnCalls!A115</f>
        <v>43466</v>
      </c>
      <c r="DP56" s="46">
        <f>ZZZ__FnCalls!A116</f>
        <v>43497</v>
      </c>
      <c r="DQ56" s="46">
        <f>ZZZ__FnCalls!A117</f>
        <v>43525</v>
      </c>
      <c r="DR56" s="46">
        <f>ZZZ__FnCalls!A118</f>
        <v>43556</v>
      </c>
      <c r="DS56" s="46">
        <f>ZZZ__FnCalls!A119</f>
        <v>43586</v>
      </c>
      <c r="DT56" s="46">
        <f>ZZZ__FnCalls!A120</f>
        <v>43617</v>
      </c>
      <c r="DU56" s="46">
        <f>ZZZ__FnCalls!A121</f>
        <v>43647</v>
      </c>
      <c r="DV56" s="46">
        <f>ZZZ__FnCalls!A122</f>
        <v>43678</v>
      </c>
      <c r="DW56" s="46">
        <f>ZZZ__FnCalls!A123</f>
        <v>43709</v>
      </c>
      <c r="DX56" s="46">
        <f>ZZZ__FnCalls!A124</f>
        <v>43739</v>
      </c>
      <c r="DY56" s="46">
        <f>ZZZ__FnCalls!A125</f>
        <v>43770</v>
      </c>
      <c r="DZ56" s="46">
        <f>ZZZ__FnCalls!A126</f>
        <v>43800</v>
      </c>
      <c r="EA56" s="47">
        <f>ZZZ__FnCalls!A115</f>
        <v>43466</v>
      </c>
      <c r="EB56" s="46">
        <f>ZZZ__FnCalls!A127</f>
        <v>43831</v>
      </c>
      <c r="EC56" s="46">
        <f>ZZZ__FnCalls!A128</f>
        <v>43862</v>
      </c>
      <c r="ED56" s="46">
        <f>ZZZ__FnCalls!A129</f>
        <v>43891</v>
      </c>
      <c r="EE56" s="46">
        <f>ZZZ__FnCalls!A130</f>
        <v>43922</v>
      </c>
      <c r="EF56" s="46">
        <f>ZZZ__FnCalls!A131</f>
        <v>43952</v>
      </c>
      <c r="EG56" s="46">
        <f>ZZZ__FnCalls!A132</f>
        <v>43983</v>
      </c>
      <c r="EH56" s="46">
        <f>ZZZ__FnCalls!A133</f>
        <v>44013</v>
      </c>
      <c r="EI56" s="46">
        <f>ZZZ__FnCalls!A134</f>
        <v>44044</v>
      </c>
      <c r="EJ56" s="46">
        <f>ZZZ__FnCalls!A135</f>
        <v>44075</v>
      </c>
      <c r="EK56" s="46">
        <f>ZZZ__FnCalls!A136</f>
        <v>44105</v>
      </c>
      <c r="EL56" s="46">
        <f>ZZZ__FnCalls!A137</f>
        <v>44136</v>
      </c>
      <c r="EM56" s="46">
        <f>ZZZ__FnCalls!A138</f>
        <v>44166</v>
      </c>
      <c r="EN56" s="47">
        <f>ZZZ__FnCalls!A127</f>
        <v>43831</v>
      </c>
    </row>
    <row r="57" spans="1:144" ht="12.75" customHeight="1" x14ac:dyDescent="0.2">
      <c r="A57" s="2" t="str">
        <f>"Employment_Desired_2"</f>
        <v>Employment_Desired_2</v>
      </c>
    </row>
    <row r="58" spans="1:144" ht="12.75" customHeight="1" x14ac:dyDescent="0.2">
      <c r="B58" s="19" t="str">
        <f>ZZZ__FnCalls!F7</f>
        <v>MMM 2010</v>
      </c>
      <c r="C58" s="20" t="str">
        <f>ZZZ__FnCalls!F8</f>
        <v>MMM 2010</v>
      </c>
      <c r="D58" s="20" t="str">
        <f>ZZZ__FnCalls!F9</f>
        <v>MMM 2010</v>
      </c>
      <c r="E58" s="20" t="str">
        <f>ZZZ__FnCalls!F10</f>
        <v>MMM 2010</v>
      </c>
      <c r="F58" s="20" t="str">
        <f>ZZZ__FnCalls!F11</f>
        <v>MMM 2010</v>
      </c>
      <c r="G58" s="20" t="str">
        <f>ZZZ__FnCalls!F12</f>
        <v>MMM 2010</v>
      </c>
      <c r="H58" s="20" t="str">
        <f>ZZZ__FnCalls!F13</f>
        <v>MMM 2010</v>
      </c>
      <c r="I58" s="20" t="str">
        <f>ZZZ__FnCalls!F14</f>
        <v>MMM 2010</v>
      </c>
      <c r="J58" s="20" t="str">
        <f>ZZZ__FnCalls!F15</f>
        <v>MMM 2010</v>
      </c>
      <c r="K58" s="20" t="str">
        <f>ZZZ__FnCalls!F16</f>
        <v>MMM 2010</v>
      </c>
      <c r="L58" s="20" t="str">
        <f>ZZZ__FnCalls!F17</f>
        <v>MMM 2010</v>
      </c>
      <c r="M58" s="20" t="str">
        <f>ZZZ__FnCalls!F18</f>
        <v>MMM 2010</v>
      </c>
      <c r="N58" s="21" t="str">
        <f>ZZZ__FnCalls!H7</f>
        <v>2010</v>
      </c>
      <c r="O58" s="20" t="str">
        <f>ZZZ__FnCalls!F19</f>
        <v>MMM 2011</v>
      </c>
      <c r="P58" s="20" t="str">
        <f>ZZZ__FnCalls!F20</f>
        <v>MMM 2011</v>
      </c>
      <c r="Q58" s="20" t="str">
        <f>ZZZ__FnCalls!F21</f>
        <v>MMM 2011</v>
      </c>
      <c r="R58" s="20" t="str">
        <f>ZZZ__FnCalls!F22</f>
        <v>MMM 2011</v>
      </c>
      <c r="S58" s="20" t="str">
        <f>ZZZ__FnCalls!F23</f>
        <v>MMM 2011</v>
      </c>
      <c r="T58" s="20" t="str">
        <f>ZZZ__FnCalls!F24</f>
        <v>MMM 2011</v>
      </c>
      <c r="U58" s="20" t="str">
        <f>ZZZ__FnCalls!F25</f>
        <v>MMM 2011</v>
      </c>
      <c r="V58" s="20" t="str">
        <f>ZZZ__FnCalls!F26</f>
        <v>MMM 2011</v>
      </c>
      <c r="W58" s="20" t="str">
        <f>ZZZ__FnCalls!F27</f>
        <v>MMM 2011</v>
      </c>
      <c r="X58" s="20" t="str">
        <f>ZZZ__FnCalls!F28</f>
        <v>MMM 2011</v>
      </c>
      <c r="Y58" s="20" t="str">
        <f>ZZZ__FnCalls!F29</f>
        <v>MMM 2011</v>
      </c>
      <c r="Z58" s="20" t="str">
        <f>ZZZ__FnCalls!F30</f>
        <v>MMM 2011</v>
      </c>
      <c r="AA58" s="21" t="str">
        <f>ZZZ__FnCalls!H19</f>
        <v>2011</v>
      </c>
      <c r="AB58" s="20" t="str">
        <f>ZZZ__FnCalls!F31</f>
        <v>MMM 2012</v>
      </c>
      <c r="AC58" s="20" t="str">
        <f>ZZZ__FnCalls!F32</f>
        <v>MMM 2012</v>
      </c>
      <c r="AD58" s="20" t="str">
        <f>ZZZ__FnCalls!F33</f>
        <v>MMM 2012</v>
      </c>
      <c r="AE58" s="20" t="str">
        <f>ZZZ__FnCalls!F34</f>
        <v>MMM 2012</v>
      </c>
      <c r="AF58" s="20" t="str">
        <f>ZZZ__FnCalls!F35</f>
        <v>MMM 2012</v>
      </c>
      <c r="AG58" s="20" t="str">
        <f>ZZZ__FnCalls!F36</f>
        <v>MMM 2012</v>
      </c>
      <c r="AH58" s="20" t="str">
        <f>ZZZ__FnCalls!F37</f>
        <v>MMM 2012</v>
      </c>
      <c r="AI58" s="20" t="str">
        <f>ZZZ__FnCalls!F38</f>
        <v>MMM 2012</v>
      </c>
      <c r="AJ58" s="20" t="str">
        <f>ZZZ__FnCalls!F39</f>
        <v>MMM 2012</v>
      </c>
      <c r="AK58" s="20" t="str">
        <f>ZZZ__FnCalls!F40</f>
        <v>MMM 2012</v>
      </c>
      <c r="AL58" s="20" t="str">
        <f>ZZZ__FnCalls!F41</f>
        <v>MMM 2012</v>
      </c>
      <c r="AM58" s="20" t="str">
        <f>ZZZ__FnCalls!F42</f>
        <v>MMM 2012</v>
      </c>
      <c r="AN58" s="21" t="str">
        <f>ZZZ__FnCalls!H31</f>
        <v>2012</v>
      </c>
      <c r="AO58" s="20" t="str">
        <f>ZZZ__FnCalls!F43</f>
        <v>MMM 2013</v>
      </c>
      <c r="AP58" s="20" t="str">
        <f>ZZZ__FnCalls!F44</f>
        <v>MMM 2013</v>
      </c>
      <c r="AQ58" s="20" t="str">
        <f>ZZZ__FnCalls!F45</f>
        <v>MMM 2013</v>
      </c>
      <c r="AR58" s="20" t="str">
        <f>ZZZ__FnCalls!F46</f>
        <v>MMM 2013</v>
      </c>
      <c r="AS58" s="20" t="str">
        <f>ZZZ__FnCalls!F47</f>
        <v>MMM 2013</v>
      </c>
      <c r="AT58" s="20" t="str">
        <f>ZZZ__FnCalls!F48</f>
        <v>MMM 2013</v>
      </c>
      <c r="AU58" s="20" t="str">
        <f>ZZZ__FnCalls!F49</f>
        <v>MMM 2013</v>
      </c>
      <c r="AV58" s="20" t="str">
        <f>ZZZ__FnCalls!F50</f>
        <v>MMM 2013</v>
      </c>
      <c r="AW58" s="20" t="str">
        <f>ZZZ__FnCalls!F51</f>
        <v>MMM 2013</v>
      </c>
      <c r="AX58" s="20" t="str">
        <f>ZZZ__FnCalls!F52</f>
        <v>MMM 2013</v>
      </c>
      <c r="AY58" s="20" t="str">
        <f>ZZZ__FnCalls!F53</f>
        <v>MMM 2013</v>
      </c>
      <c r="AZ58" s="20" t="str">
        <f>ZZZ__FnCalls!F54</f>
        <v>MMM 2013</v>
      </c>
      <c r="BA58" s="21" t="str">
        <f>ZZZ__FnCalls!H43</f>
        <v>2013</v>
      </c>
      <c r="BB58" s="20" t="str">
        <f>ZZZ__FnCalls!F55</f>
        <v>MMM 2014</v>
      </c>
      <c r="BC58" s="20" t="str">
        <f>ZZZ__FnCalls!F56</f>
        <v>MMM 2014</v>
      </c>
      <c r="BD58" s="20" t="str">
        <f>ZZZ__FnCalls!F57</f>
        <v>MMM 2014</v>
      </c>
      <c r="BE58" s="20" t="str">
        <f>ZZZ__FnCalls!F58</f>
        <v>MMM 2014</v>
      </c>
      <c r="BF58" s="20" t="str">
        <f>ZZZ__FnCalls!F59</f>
        <v>MMM 2014</v>
      </c>
      <c r="BG58" s="20" t="str">
        <f>ZZZ__FnCalls!F60</f>
        <v>MMM 2014</v>
      </c>
      <c r="BH58" s="20" t="str">
        <f>ZZZ__FnCalls!F61</f>
        <v>MMM 2014</v>
      </c>
      <c r="BI58" s="20" t="str">
        <f>ZZZ__FnCalls!F62</f>
        <v>MMM 2014</v>
      </c>
      <c r="BJ58" s="20" t="str">
        <f>ZZZ__FnCalls!F63</f>
        <v>MMM 2014</v>
      </c>
      <c r="BK58" s="20" t="str">
        <f>ZZZ__FnCalls!F64</f>
        <v>MMM 2014</v>
      </c>
      <c r="BL58" s="20" t="str">
        <f>ZZZ__FnCalls!F65</f>
        <v>MMM 2014</v>
      </c>
      <c r="BM58" s="20" t="str">
        <f>ZZZ__FnCalls!F66</f>
        <v>MMM 2014</v>
      </c>
      <c r="BN58" s="21" t="str">
        <f>ZZZ__FnCalls!H55</f>
        <v>2014</v>
      </c>
      <c r="BO58" s="20" t="str">
        <f>ZZZ__FnCalls!F67</f>
        <v>MMM 2015</v>
      </c>
      <c r="BP58" s="20" t="str">
        <f>ZZZ__FnCalls!F68</f>
        <v>MMM 2015</v>
      </c>
      <c r="BQ58" s="20" t="str">
        <f>ZZZ__FnCalls!F69</f>
        <v>MMM 2015</v>
      </c>
      <c r="BR58" s="20" t="str">
        <f>ZZZ__FnCalls!F70</f>
        <v>MMM 2015</v>
      </c>
      <c r="BS58" s="20" t="str">
        <f>ZZZ__FnCalls!F71</f>
        <v>MMM 2015</v>
      </c>
      <c r="BT58" s="20" t="str">
        <f>ZZZ__FnCalls!F72</f>
        <v>MMM 2015</v>
      </c>
      <c r="BU58" s="20" t="str">
        <f>ZZZ__FnCalls!F73</f>
        <v>MMM 2015</v>
      </c>
      <c r="BV58" s="20" t="str">
        <f>ZZZ__FnCalls!F74</f>
        <v>MMM 2015</v>
      </c>
      <c r="BW58" s="20" t="str">
        <f>ZZZ__FnCalls!F75</f>
        <v>MMM 2015</v>
      </c>
      <c r="BX58" s="20" t="str">
        <f>ZZZ__FnCalls!F76</f>
        <v>MMM 2015</v>
      </c>
      <c r="BY58" s="20" t="str">
        <f>ZZZ__FnCalls!F77</f>
        <v>MMM 2015</v>
      </c>
      <c r="BZ58" s="20" t="str">
        <f>ZZZ__FnCalls!F78</f>
        <v>MMM 2015</v>
      </c>
      <c r="CA58" s="21" t="str">
        <f>ZZZ__FnCalls!H67</f>
        <v>2015</v>
      </c>
      <c r="CB58" s="20" t="str">
        <f>ZZZ__FnCalls!F79</f>
        <v>MMM 2016</v>
      </c>
      <c r="CC58" s="20" t="str">
        <f>ZZZ__FnCalls!F80</f>
        <v>MMM 2016</v>
      </c>
      <c r="CD58" s="20" t="str">
        <f>ZZZ__FnCalls!F81</f>
        <v>MMM 2016</v>
      </c>
      <c r="CE58" s="20" t="str">
        <f>ZZZ__FnCalls!F82</f>
        <v>MMM 2016</v>
      </c>
      <c r="CF58" s="20" t="str">
        <f>ZZZ__FnCalls!F83</f>
        <v>MMM 2016</v>
      </c>
      <c r="CG58" s="20" t="str">
        <f>ZZZ__FnCalls!F84</f>
        <v>MMM 2016</v>
      </c>
      <c r="CH58" s="20" t="str">
        <f>ZZZ__FnCalls!F85</f>
        <v>MMM 2016</v>
      </c>
      <c r="CI58" s="20" t="str">
        <f>ZZZ__FnCalls!F86</f>
        <v>MMM 2016</v>
      </c>
      <c r="CJ58" s="20" t="str">
        <f>ZZZ__FnCalls!F87</f>
        <v>MMM 2016</v>
      </c>
      <c r="CK58" s="20" t="str">
        <f>ZZZ__FnCalls!F88</f>
        <v>MMM 2016</v>
      </c>
      <c r="CL58" s="20" t="str">
        <f>ZZZ__FnCalls!F89</f>
        <v>MMM 2016</v>
      </c>
      <c r="CM58" s="20" t="str">
        <f>ZZZ__FnCalls!F90</f>
        <v>MMM 2016</v>
      </c>
      <c r="CN58" s="21" t="str">
        <f>ZZZ__FnCalls!H79</f>
        <v>2016</v>
      </c>
      <c r="CO58" s="20" t="str">
        <f>ZZZ__FnCalls!F91</f>
        <v>MMM 2017</v>
      </c>
      <c r="CP58" s="20" t="str">
        <f>ZZZ__FnCalls!F92</f>
        <v>MMM 2017</v>
      </c>
      <c r="CQ58" s="20" t="str">
        <f>ZZZ__FnCalls!F93</f>
        <v>MMM 2017</v>
      </c>
      <c r="CR58" s="20" t="str">
        <f>ZZZ__FnCalls!F94</f>
        <v>MMM 2017</v>
      </c>
      <c r="CS58" s="20" t="str">
        <f>ZZZ__FnCalls!F95</f>
        <v>MMM 2017</v>
      </c>
      <c r="CT58" s="20" t="str">
        <f>ZZZ__FnCalls!F96</f>
        <v>MMM 2017</v>
      </c>
      <c r="CU58" s="20" t="str">
        <f>ZZZ__FnCalls!F97</f>
        <v>MMM 2017</v>
      </c>
      <c r="CV58" s="20" t="str">
        <f>ZZZ__FnCalls!F98</f>
        <v>MMM 2017</v>
      </c>
      <c r="CW58" s="20" t="str">
        <f>ZZZ__FnCalls!F99</f>
        <v>MMM 2017</v>
      </c>
      <c r="CX58" s="20" t="str">
        <f>ZZZ__FnCalls!F100</f>
        <v>MMM 2017</v>
      </c>
      <c r="CY58" s="20" t="str">
        <f>ZZZ__FnCalls!F101</f>
        <v>MMM 2017</v>
      </c>
      <c r="CZ58" s="20" t="str">
        <f>ZZZ__FnCalls!F102</f>
        <v>MMM 2017</v>
      </c>
      <c r="DA58" s="21" t="str">
        <f>ZZZ__FnCalls!H91</f>
        <v>2017</v>
      </c>
      <c r="DB58" s="20" t="str">
        <f>ZZZ__FnCalls!F103</f>
        <v>MMM 2018</v>
      </c>
      <c r="DC58" s="20" t="str">
        <f>ZZZ__FnCalls!F104</f>
        <v>MMM 2018</v>
      </c>
      <c r="DD58" s="20" t="str">
        <f>ZZZ__FnCalls!F105</f>
        <v>MMM 2018</v>
      </c>
      <c r="DE58" s="20" t="str">
        <f>ZZZ__FnCalls!F106</f>
        <v>MMM 2018</v>
      </c>
      <c r="DF58" s="20" t="str">
        <f>ZZZ__FnCalls!F107</f>
        <v>MMM 2018</v>
      </c>
      <c r="DG58" s="20" t="str">
        <f>ZZZ__FnCalls!F108</f>
        <v>MMM 2018</v>
      </c>
      <c r="DH58" s="20" t="str">
        <f>ZZZ__FnCalls!F109</f>
        <v>MMM 2018</v>
      </c>
      <c r="DI58" s="20" t="str">
        <f>ZZZ__FnCalls!F110</f>
        <v>MMM 2018</v>
      </c>
      <c r="DJ58" s="20" t="str">
        <f>ZZZ__FnCalls!F111</f>
        <v>MMM 2018</v>
      </c>
      <c r="DK58" s="20" t="str">
        <f>ZZZ__FnCalls!F112</f>
        <v>MMM 2018</v>
      </c>
      <c r="DL58" s="20" t="str">
        <f>ZZZ__FnCalls!F113</f>
        <v>MMM 2018</v>
      </c>
      <c r="DM58" s="20" t="str">
        <f>ZZZ__FnCalls!F114</f>
        <v>MMM 2018</v>
      </c>
      <c r="DN58" s="21" t="str">
        <f>ZZZ__FnCalls!H103</f>
        <v>2018</v>
      </c>
      <c r="DO58" s="20" t="str">
        <f>ZZZ__FnCalls!F115</f>
        <v>MMM 2019</v>
      </c>
      <c r="DP58" s="20" t="str">
        <f>ZZZ__FnCalls!F116</f>
        <v>MMM 2019</v>
      </c>
      <c r="DQ58" s="20" t="str">
        <f>ZZZ__FnCalls!F117</f>
        <v>MMM 2019</v>
      </c>
      <c r="DR58" s="20" t="str">
        <f>ZZZ__FnCalls!F118</f>
        <v>MMM 2019</v>
      </c>
      <c r="DS58" s="20" t="str">
        <f>ZZZ__FnCalls!F119</f>
        <v>MMM 2019</v>
      </c>
      <c r="DT58" s="20" t="str">
        <f>ZZZ__FnCalls!F120</f>
        <v>MMM 2019</v>
      </c>
      <c r="DU58" s="20" t="str">
        <f>ZZZ__FnCalls!F121</f>
        <v>MMM 2019</v>
      </c>
      <c r="DV58" s="20" t="str">
        <f>ZZZ__FnCalls!F122</f>
        <v>MMM 2019</v>
      </c>
      <c r="DW58" s="20" t="str">
        <f>ZZZ__FnCalls!F123</f>
        <v>MMM 2019</v>
      </c>
      <c r="DX58" s="20" t="str">
        <f>ZZZ__FnCalls!F124</f>
        <v>MMM 2019</v>
      </c>
      <c r="DY58" s="20" t="str">
        <f>ZZZ__FnCalls!F125</f>
        <v>MMM 2019</v>
      </c>
      <c r="DZ58" s="20" t="str">
        <f>ZZZ__FnCalls!F126</f>
        <v>MMM 2019</v>
      </c>
      <c r="EA58" s="21" t="str">
        <f>ZZZ__FnCalls!H115</f>
        <v>2019</v>
      </c>
      <c r="EB58" s="20" t="str">
        <f>ZZZ__FnCalls!F127</f>
        <v>MMM 2020</v>
      </c>
      <c r="EC58" s="20" t="str">
        <f>ZZZ__FnCalls!F128</f>
        <v>MMM 2020</v>
      </c>
      <c r="ED58" s="20" t="str">
        <f>ZZZ__FnCalls!F129</f>
        <v>MMM 2020</v>
      </c>
      <c r="EE58" s="20" t="str">
        <f>ZZZ__FnCalls!F130</f>
        <v>MMM 2020</v>
      </c>
      <c r="EF58" s="20" t="str">
        <f>ZZZ__FnCalls!F131</f>
        <v>MMM 2020</v>
      </c>
      <c r="EG58" s="20" t="str">
        <f>ZZZ__FnCalls!F132</f>
        <v>MMM 2020</v>
      </c>
      <c r="EH58" s="20" t="str">
        <f>ZZZ__FnCalls!F133</f>
        <v>MMM 2020</v>
      </c>
      <c r="EI58" s="20" t="str">
        <f>ZZZ__FnCalls!F134</f>
        <v>MMM 2020</v>
      </c>
      <c r="EJ58" s="20" t="str">
        <f>ZZZ__FnCalls!F135</f>
        <v>MMM 2020</v>
      </c>
      <c r="EK58" s="20" t="str">
        <f>ZZZ__FnCalls!F136</f>
        <v>MMM 2020</v>
      </c>
      <c r="EL58" s="20" t="str">
        <f>ZZZ__FnCalls!F137</f>
        <v>MMM 2020</v>
      </c>
      <c r="EM58" s="20" t="str">
        <f>ZZZ__FnCalls!F138</f>
        <v>MMM 2020</v>
      </c>
      <c r="EN58" s="21" t="str">
        <f>ZZZ__FnCalls!H127</f>
        <v>2020</v>
      </c>
    </row>
    <row r="59" spans="1:144" ht="12.75" customHeight="1" x14ac:dyDescent="0.2">
      <c r="A59" s="5"/>
      <c r="B59" s="46" t="str">
        <f>ZZZ__FnCalls!F7</f>
        <v>MMM 2010</v>
      </c>
      <c r="C59" s="46" t="str">
        <f>ZZZ__FnCalls!F8</f>
        <v>MMM 2010</v>
      </c>
      <c r="D59" s="46" t="str">
        <f>ZZZ__FnCalls!F9</f>
        <v>MMM 2010</v>
      </c>
      <c r="E59" s="46" t="str">
        <f>ZZZ__FnCalls!F10</f>
        <v>MMM 2010</v>
      </c>
      <c r="F59" s="46" t="str">
        <f>ZZZ__FnCalls!F11</f>
        <v>MMM 2010</v>
      </c>
      <c r="G59" s="46" t="str">
        <f>ZZZ__FnCalls!F12</f>
        <v>MMM 2010</v>
      </c>
      <c r="H59" s="46" t="str">
        <f>ZZZ__FnCalls!F13</f>
        <v>MMM 2010</v>
      </c>
      <c r="I59" s="46" t="str">
        <f>ZZZ__FnCalls!F14</f>
        <v>MMM 2010</v>
      </c>
      <c r="J59" s="46" t="str">
        <f>ZZZ__FnCalls!F15</f>
        <v>MMM 2010</v>
      </c>
      <c r="K59" s="46" t="str">
        <f>ZZZ__FnCalls!F16</f>
        <v>MMM 2010</v>
      </c>
      <c r="L59" s="46" t="str">
        <f>ZZZ__FnCalls!F17</f>
        <v>MMM 2010</v>
      </c>
      <c r="M59" s="46" t="str">
        <f>ZZZ__FnCalls!F18</f>
        <v>MMM 2010</v>
      </c>
      <c r="N59" s="47" t="str">
        <f>ZZZ__FnCalls!F7</f>
        <v>MMM 2010</v>
      </c>
      <c r="O59" s="46" t="str">
        <f>ZZZ__FnCalls!F19</f>
        <v>MMM 2011</v>
      </c>
      <c r="P59" s="46" t="str">
        <f>ZZZ__FnCalls!F20</f>
        <v>MMM 2011</v>
      </c>
      <c r="Q59" s="46" t="str">
        <f>ZZZ__FnCalls!F21</f>
        <v>MMM 2011</v>
      </c>
      <c r="R59" s="46" t="str">
        <f>ZZZ__FnCalls!F22</f>
        <v>MMM 2011</v>
      </c>
      <c r="S59" s="46" t="str">
        <f>ZZZ__FnCalls!F23</f>
        <v>MMM 2011</v>
      </c>
      <c r="T59" s="46" t="str">
        <f>ZZZ__FnCalls!F24</f>
        <v>MMM 2011</v>
      </c>
      <c r="U59" s="46" t="str">
        <f>ZZZ__FnCalls!F25</f>
        <v>MMM 2011</v>
      </c>
      <c r="V59" s="46" t="str">
        <f>ZZZ__FnCalls!F26</f>
        <v>MMM 2011</v>
      </c>
      <c r="W59" s="46" t="str">
        <f>ZZZ__FnCalls!F27</f>
        <v>MMM 2011</v>
      </c>
      <c r="X59" s="46" t="str">
        <f>ZZZ__FnCalls!F28</f>
        <v>MMM 2011</v>
      </c>
      <c r="Y59" s="46" t="str">
        <f>ZZZ__FnCalls!F29</f>
        <v>MMM 2011</v>
      </c>
      <c r="Z59" s="46" t="str">
        <f>ZZZ__FnCalls!F30</f>
        <v>MMM 2011</v>
      </c>
      <c r="AA59" s="47" t="str">
        <f>ZZZ__FnCalls!F19</f>
        <v>MMM 2011</v>
      </c>
      <c r="AB59" s="46" t="str">
        <f>ZZZ__FnCalls!F31</f>
        <v>MMM 2012</v>
      </c>
      <c r="AC59" s="46" t="str">
        <f>ZZZ__FnCalls!F32</f>
        <v>MMM 2012</v>
      </c>
      <c r="AD59" s="46" t="str">
        <f>ZZZ__FnCalls!F33</f>
        <v>MMM 2012</v>
      </c>
      <c r="AE59" s="46" t="str">
        <f>ZZZ__FnCalls!F34</f>
        <v>MMM 2012</v>
      </c>
      <c r="AF59" s="46" t="str">
        <f>ZZZ__FnCalls!F35</f>
        <v>MMM 2012</v>
      </c>
      <c r="AG59" s="46" t="str">
        <f>ZZZ__FnCalls!F36</f>
        <v>MMM 2012</v>
      </c>
      <c r="AH59" s="46" t="str">
        <f>ZZZ__FnCalls!F37</f>
        <v>MMM 2012</v>
      </c>
      <c r="AI59" s="46" t="str">
        <f>ZZZ__FnCalls!F38</f>
        <v>MMM 2012</v>
      </c>
      <c r="AJ59" s="46" t="str">
        <f>ZZZ__FnCalls!F39</f>
        <v>MMM 2012</v>
      </c>
      <c r="AK59" s="46" t="str">
        <f>ZZZ__FnCalls!F40</f>
        <v>MMM 2012</v>
      </c>
      <c r="AL59" s="46" t="str">
        <f>ZZZ__FnCalls!F41</f>
        <v>MMM 2012</v>
      </c>
      <c r="AM59" s="46" t="str">
        <f>ZZZ__FnCalls!F42</f>
        <v>MMM 2012</v>
      </c>
      <c r="AN59" s="47" t="str">
        <f>ZZZ__FnCalls!F31</f>
        <v>MMM 2012</v>
      </c>
      <c r="AO59" s="46" t="str">
        <f>ZZZ__FnCalls!F43</f>
        <v>MMM 2013</v>
      </c>
      <c r="AP59" s="46" t="str">
        <f>ZZZ__FnCalls!F44</f>
        <v>MMM 2013</v>
      </c>
      <c r="AQ59" s="46" t="str">
        <f>ZZZ__FnCalls!F45</f>
        <v>MMM 2013</v>
      </c>
      <c r="AR59" s="46" t="str">
        <f>ZZZ__FnCalls!F46</f>
        <v>MMM 2013</v>
      </c>
      <c r="AS59" s="46" t="str">
        <f>ZZZ__FnCalls!F47</f>
        <v>MMM 2013</v>
      </c>
      <c r="AT59" s="46" t="str">
        <f>ZZZ__FnCalls!F48</f>
        <v>MMM 2013</v>
      </c>
      <c r="AU59" s="46" t="str">
        <f>ZZZ__FnCalls!F49</f>
        <v>MMM 2013</v>
      </c>
      <c r="AV59" s="46" t="str">
        <f>ZZZ__FnCalls!F50</f>
        <v>MMM 2013</v>
      </c>
      <c r="AW59" s="46" t="str">
        <f>ZZZ__FnCalls!F51</f>
        <v>MMM 2013</v>
      </c>
      <c r="AX59" s="46" t="str">
        <f>ZZZ__FnCalls!F52</f>
        <v>MMM 2013</v>
      </c>
      <c r="AY59" s="46" t="str">
        <f>ZZZ__FnCalls!F53</f>
        <v>MMM 2013</v>
      </c>
      <c r="AZ59" s="46" t="str">
        <f>ZZZ__FnCalls!F54</f>
        <v>MMM 2013</v>
      </c>
      <c r="BA59" s="47" t="str">
        <f>ZZZ__FnCalls!F43</f>
        <v>MMM 2013</v>
      </c>
      <c r="BB59" s="46" t="str">
        <f>ZZZ__FnCalls!F55</f>
        <v>MMM 2014</v>
      </c>
      <c r="BC59" s="46" t="str">
        <f>ZZZ__FnCalls!F56</f>
        <v>MMM 2014</v>
      </c>
      <c r="BD59" s="46" t="str">
        <f>ZZZ__FnCalls!F57</f>
        <v>MMM 2014</v>
      </c>
      <c r="BE59" s="46" t="str">
        <f>ZZZ__FnCalls!F58</f>
        <v>MMM 2014</v>
      </c>
      <c r="BF59" s="46" t="str">
        <f>ZZZ__FnCalls!F59</f>
        <v>MMM 2014</v>
      </c>
      <c r="BG59" s="46" t="str">
        <f>ZZZ__FnCalls!F60</f>
        <v>MMM 2014</v>
      </c>
      <c r="BH59" s="46" t="str">
        <f>ZZZ__FnCalls!F61</f>
        <v>MMM 2014</v>
      </c>
      <c r="BI59" s="46" t="str">
        <f>ZZZ__FnCalls!F62</f>
        <v>MMM 2014</v>
      </c>
      <c r="BJ59" s="46" t="str">
        <f>ZZZ__FnCalls!F63</f>
        <v>MMM 2014</v>
      </c>
      <c r="BK59" s="46" t="str">
        <f>ZZZ__FnCalls!F64</f>
        <v>MMM 2014</v>
      </c>
      <c r="BL59" s="46" t="str">
        <f>ZZZ__FnCalls!F65</f>
        <v>MMM 2014</v>
      </c>
      <c r="BM59" s="46" t="str">
        <f>ZZZ__FnCalls!F66</f>
        <v>MMM 2014</v>
      </c>
      <c r="BN59" s="47" t="str">
        <f>ZZZ__FnCalls!F55</f>
        <v>MMM 2014</v>
      </c>
      <c r="BO59" s="46" t="str">
        <f>ZZZ__FnCalls!F67</f>
        <v>MMM 2015</v>
      </c>
      <c r="BP59" s="46" t="str">
        <f>ZZZ__FnCalls!F68</f>
        <v>MMM 2015</v>
      </c>
      <c r="BQ59" s="46" t="str">
        <f>ZZZ__FnCalls!F69</f>
        <v>MMM 2015</v>
      </c>
      <c r="BR59" s="46" t="str">
        <f>ZZZ__FnCalls!F70</f>
        <v>MMM 2015</v>
      </c>
      <c r="BS59" s="46" t="str">
        <f>ZZZ__FnCalls!F71</f>
        <v>MMM 2015</v>
      </c>
      <c r="BT59" s="46" t="str">
        <f>ZZZ__FnCalls!F72</f>
        <v>MMM 2015</v>
      </c>
      <c r="BU59" s="46" t="str">
        <f>ZZZ__FnCalls!F73</f>
        <v>MMM 2015</v>
      </c>
      <c r="BV59" s="46" t="str">
        <f>ZZZ__FnCalls!F74</f>
        <v>MMM 2015</v>
      </c>
      <c r="BW59" s="46" t="str">
        <f>ZZZ__FnCalls!F75</f>
        <v>MMM 2015</v>
      </c>
      <c r="BX59" s="46" t="str">
        <f>ZZZ__FnCalls!F76</f>
        <v>MMM 2015</v>
      </c>
      <c r="BY59" s="46" t="str">
        <f>ZZZ__FnCalls!F77</f>
        <v>MMM 2015</v>
      </c>
      <c r="BZ59" s="46" t="str">
        <f>ZZZ__FnCalls!F78</f>
        <v>MMM 2015</v>
      </c>
      <c r="CA59" s="47" t="str">
        <f>ZZZ__FnCalls!F67</f>
        <v>MMM 2015</v>
      </c>
      <c r="CB59" s="46" t="str">
        <f>ZZZ__FnCalls!F79</f>
        <v>MMM 2016</v>
      </c>
      <c r="CC59" s="46" t="str">
        <f>ZZZ__FnCalls!F80</f>
        <v>MMM 2016</v>
      </c>
      <c r="CD59" s="46" t="str">
        <f>ZZZ__FnCalls!F81</f>
        <v>MMM 2016</v>
      </c>
      <c r="CE59" s="46" t="str">
        <f>ZZZ__FnCalls!F82</f>
        <v>MMM 2016</v>
      </c>
      <c r="CF59" s="46" t="str">
        <f>ZZZ__FnCalls!F83</f>
        <v>MMM 2016</v>
      </c>
      <c r="CG59" s="46" t="str">
        <f>ZZZ__FnCalls!F84</f>
        <v>MMM 2016</v>
      </c>
      <c r="CH59" s="46" t="str">
        <f>ZZZ__FnCalls!F85</f>
        <v>MMM 2016</v>
      </c>
      <c r="CI59" s="46" t="str">
        <f>ZZZ__FnCalls!F86</f>
        <v>MMM 2016</v>
      </c>
      <c r="CJ59" s="46" t="str">
        <f>ZZZ__FnCalls!F87</f>
        <v>MMM 2016</v>
      </c>
      <c r="CK59" s="46" t="str">
        <f>ZZZ__FnCalls!F88</f>
        <v>MMM 2016</v>
      </c>
      <c r="CL59" s="46" t="str">
        <f>ZZZ__FnCalls!F89</f>
        <v>MMM 2016</v>
      </c>
      <c r="CM59" s="46" t="str">
        <f>ZZZ__FnCalls!F90</f>
        <v>MMM 2016</v>
      </c>
      <c r="CN59" s="47" t="str">
        <f>ZZZ__FnCalls!F79</f>
        <v>MMM 2016</v>
      </c>
      <c r="CO59" s="46" t="str">
        <f>ZZZ__FnCalls!F91</f>
        <v>MMM 2017</v>
      </c>
      <c r="CP59" s="46" t="str">
        <f>ZZZ__FnCalls!F92</f>
        <v>MMM 2017</v>
      </c>
      <c r="CQ59" s="46" t="str">
        <f>ZZZ__FnCalls!F93</f>
        <v>MMM 2017</v>
      </c>
      <c r="CR59" s="46" t="str">
        <f>ZZZ__FnCalls!F94</f>
        <v>MMM 2017</v>
      </c>
      <c r="CS59" s="46" t="str">
        <f>ZZZ__FnCalls!F95</f>
        <v>MMM 2017</v>
      </c>
      <c r="CT59" s="46" t="str">
        <f>ZZZ__FnCalls!F96</f>
        <v>MMM 2017</v>
      </c>
      <c r="CU59" s="46" t="str">
        <f>ZZZ__FnCalls!F97</f>
        <v>MMM 2017</v>
      </c>
      <c r="CV59" s="46" t="str">
        <f>ZZZ__FnCalls!F98</f>
        <v>MMM 2017</v>
      </c>
      <c r="CW59" s="46" t="str">
        <f>ZZZ__FnCalls!F99</f>
        <v>MMM 2017</v>
      </c>
      <c r="CX59" s="46" t="str">
        <f>ZZZ__FnCalls!F100</f>
        <v>MMM 2017</v>
      </c>
      <c r="CY59" s="46" t="str">
        <f>ZZZ__FnCalls!F101</f>
        <v>MMM 2017</v>
      </c>
      <c r="CZ59" s="46" t="str">
        <f>ZZZ__FnCalls!F102</f>
        <v>MMM 2017</v>
      </c>
      <c r="DA59" s="47" t="str">
        <f>ZZZ__FnCalls!F91</f>
        <v>MMM 2017</v>
      </c>
      <c r="DB59" s="46" t="str">
        <f>ZZZ__FnCalls!F103</f>
        <v>MMM 2018</v>
      </c>
      <c r="DC59" s="46" t="str">
        <f>ZZZ__FnCalls!F104</f>
        <v>MMM 2018</v>
      </c>
      <c r="DD59" s="46" t="str">
        <f>ZZZ__FnCalls!F105</f>
        <v>MMM 2018</v>
      </c>
      <c r="DE59" s="46" t="str">
        <f>ZZZ__FnCalls!F106</f>
        <v>MMM 2018</v>
      </c>
      <c r="DF59" s="46" t="str">
        <f>ZZZ__FnCalls!F107</f>
        <v>MMM 2018</v>
      </c>
      <c r="DG59" s="46" t="str">
        <f>ZZZ__FnCalls!F108</f>
        <v>MMM 2018</v>
      </c>
      <c r="DH59" s="46" t="str">
        <f>ZZZ__FnCalls!F109</f>
        <v>MMM 2018</v>
      </c>
      <c r="DI59" s="46" t="str">
        <f>ZZZ__FnCalls!F110</f>
        <v>MMM 2018</v>
      </c>
      <c r="DJ59" s="46" t="str">
        <f>ZZZ__FnCalls!F111</f>
        <v>MMM 2018</v>
      </c>
      <c r="DK59" s="46" t="str">
        <f>ZZZ__FnCalls!F112</f>
        <v>MMM 2018</v>
      </c>
      <c r="DL59" s="46" t="str">
        <f>ZZZ__FnCalls!F113</f>
        <v>MMM 2018</v>
      </c>
      <c r="DM59" s="46" t="str">
        <f>ZZZ__FnCalls!F114</f>
        <v>MMM 2018</v>
      </c>
      <c r="DN59" s="47" t="str">
        <f>ZZZ__FnCalls!F103</f>
        <v>MMM 2018</v>
      </c>
      <c r="DO59" s="46" t="str">
        <f>ZZZ__FnCalls!F115</f>
        <v>MMM 2019</v>
      </c>
      <c r="DP59" s="46" t="str">
        <f>ZZZ__FnCalls!F116</f>
        <v>MMM 2019</v>
      </c>
      <c r="DQ59" s="46" t="str">
        <f>ZZZ__FnCalls!F117</f>
        <v>MMM 2019</v>
      </c>
      <c r="DR59" s="46" t="str">
        <f>ZZZ__FnCalls!F118</f>
        <v>MMM 2019</v>
      </c>
      <c r="DS59" s="46" t="str">
        <f>ZZZ__FnCalls!F119</f>
        <v>MMM 2019</v>
      </c>
      <c r="DT59" s="46" t="str">
        <f>ZZZ__FnCalls!F120</f>
        <v>MMM 2019</v>
      </c>
      <c r="DU59" s="46" t="str">
        <f>ZZZ__FnCalls!F121</f>
        <v>MMM 2019</v>
      </c>
      <c r="DV59" s="46" t="str">
        <f>ZZZ__FnCalls!F122</f>
        <v>MMM 2019</v>
      </c>
      <c r="DW59" s="46" t="str">
        <f>ZZZ__FnCalls!F123</f>
        <v>MMM 2019</v>
      </c>
      <c r="DX59" s="46" t="str">
        <f>ZZZ__FnCalls!F124</f>
        <v>MMM 2019</v>
      </c>
      <c r="DY59" s="46" t="str">
        <f>ZZZ__FnCalls!F125</f>
        <v>MMM 2019</v>
      </c>
      <c r="DZ59" s="46" t="str">
        <f>ZZZ__FnCalls!F126</f>
        <v>MMM 2019</v>
      </c>
      <c r="EA59" s="47" t="str">
        <f>ZZZ__FnCalls!F115</f>
        <v>MMM 2019</v>
      </c>
      <c r="EB59" s="46" t="str">
        <f>ZZZ__FnCalls!F127</f>
        <v>MMM 2020</v>
      </c>
      <c r="EC59" s="46" t="str">
        <f>ZZZ__FnCalls!F128</f>
        <v>MMM 2020</v>
      </c>
      <c r="ED59" s="46" t="str">
        <f>ZZZ__FnCalls!F129</f>
        <v>MMM 2020</v>
      </c>
      <c r="EE59" s="46" t="str">
        <f>ZZZ__FnCalls!F130</f>
        <v>MMM 2020</v>
      </c>
      <c r="EF59" s="46" t="str">
        <f>ZZZ__FnCalls!F131</f>
        <v>MMM 2020</v>
      </c>
      <c r="EG59" s="46" t="str">
        <f>ZZZ__FnCalls!F132</f>
        <v>MMM 2020</v>
      </c>
      <c r="EH59" s="46" t="str">
        <f>ZZZ__FnCalls!F133</f>
        <v>MMM 2020</v>
      </c>
      <c r="EI59" s="46" t="str">
        <f>ZZZ__FnCalls!F134</f>
        <v>MMM 2020</v>
      </c>
      <c r="EJ59" s="46" t="str">
        <f>ZZZ__FnCalls!F135</f>
        <v>MMM 2020</v>
      </c>
      <c r="EK59" s="46" t="str">
        <f>ZZZ__FnCalls!F136</f>
        <v>MMM 2020</v>
      </c>
      <c r="EL59" s="46" t="str">
        <f>ZZZ__FnCalls!F137</f>
        <v>MMM 2020</v>
      </c>
      <c r="EM59" s="46" t="str">
        <f>ZZZ__FnCalls!F138</f>
        <v>MMM 2020</v>
      </c>
      <c r="EN59" s="47" t="str">
        <f>ZZZ__FnCalls!F127</f>
        <v>MMM 2020</v>
      </c>
    </row>
    <row r="60" spans="1:144" ht="12.75" customHeight="1" x14ac:dyDescent="0.2">
      <c r="A60" s="2" t="str">
        <f>"Demand_Expected_Short_1"</f>
        <v>Demand_Expected_Short_1</v>
      </c>
    </row>
    <row r="61" spans="1:144" ht="12.75" customHeight="1" x14ac:dyDescent="0.2">
      <c r="B61" s="19" t="str">
        <f>ZZZ__FnCalls!F7</f>
        <v>MMM 2010</v>
      </c>
      <c r="C61" s="20" t="str">
        <f>ZZZ__FnCalls!F8</f>
        <v>MMM 2010</v>
      </c>
      <c r="D61" s="20" t="str">
        <f>ZZZ__FnCalls!F9</f>
        <v>MMM 2010</v>
      </c>
      <c r="E61" s="20" t="str">
        <f>ZZZ__FnCalls!F10</f>
        <v>MMM 2010</v>
      </c>
      <c r="F61" s="20" t="str">
        <f>ZZZ__FnCalls!F11</f>
        <v>MMM 2010</v>
      </c>
      <c r="G61" s="20" t="str">
        <f>ZZZ__FnCalls!F12</f>
        <v>MMM 2010</v>
      </c>
      <c r="H61" s="20" t="str">
        <f>ZZZ__FnCalls!F13</f>
        <v>MMM 2010</v>
      </c>
      <c r="I61" s="20" t="str">
        <f>ZZZ__FnCalls!F14</f>
        <v>MMM 2010</v>
      </c>
      <c r="J61" s="20" t="str">
        <f>ZZZ__FnCalls!F15</f>
        <v>MMM 2010</v>
      </c>
      <c r="K61" s="20" t="str">
        <f>ZZZ__FnCalls!F16</f>
        <v>MMM 2010</v>
      </c>
      <c r="L61" s="20" t="str">
        <f>ZZZ__FnCalls!F17</f>
        <v>MMM 2010</v>
      </c>
      <c r="M61" s="20" t="str">
        <f>ZZZ__FnCalls!F18</f>
        <v>MMM 2010</v>
      </c>
      <c r="N61" s="21" t="str">
        <f>ZZZ__FnCalls!H7</f>
        <v>2010</v>
      </c>
      <c r="O61" s="20" t="str">
        <f>ZZZ__FnCalls!F19</f>
        <v>MMM 2011</v>
      </c>
      <c r="P61" s="20" t="str">
        <f>ZZZ__FnCalls!F20</f>
        <v>MMM 2011</v>
      </c>
      <c r="Q61" s="20" t="str">
        <f>ZZZ__FnCalls!F21</f>
        <v>MMM 2011</v>
      </c>
      <c r="R61" s="20" t="str">
        <f>ZZZ__FnCalls!F22</f>
        <v>MMM 2011</v>
      </c>
      <c r="S61" s="20" t="str">
        <f>ZZZ__FnCalls!F23</f>
        <v>MMM 2011</v>
      </c>
      <c r="T61" s="20" t="str">
        <f>ZZZ__FnCalls!F24</f>
        <v>MMM 2011</v>
      </c>
      <c r="U61" s="20" t="str">
        <f>ZZZ__FnCalls!F25</f>
        <v>MMM 2011</v>
      </c>
      <c r="V61" s="20" t="str">
        <f>ZZZ__FnCalls!F26</f>
        <v>MMM 2011</v>
      </c>
      <c r="W61" s="20" t="str">
        <f>ZZZ__FnCalls!F27</f>
        <v>MMM 2011</v>
      </c>
      <c r="X61" s="20" t="str">
        <f>ZZZ__FnCalls!F28</f>
        <v>MMM 2011</v>
      </c>
      <c r="Y61" s="20" t="str">
        <f>ZZZ__FnCalls!F29</f>
        <v>MMM 2011</v>
      </c>
      <c r="Z61" s="20" t="str">
        <f>ZZZ__FnCalls!F30</f>
        <v>MMM 2011</v>
      </c>
      <c r="AA61" s="21" t="str">
        <f>ZZZ__FnCalls!H19</f>
        <v>2011</v>
      </c>
      <c r="AB61" s="20" t="str">
        <f>ZZZ__FnCalls!F31</f>
        <v>MMM 2012</v>
      </c>
      <c r="AC61" s="20" t="str">
        <f>ZZZ__FnCalls!F32</f>
        <v>MMM 2012</v>
      </c>
      <c r="AD61" s="20" t="str">
        <f>ZZZ__FnCalls!F33</f>
        <v>MMM 2012</v>
      </c>
      <c r="AE61" s="20" t="str">
        <f>ZZZ__FnCalls!F34</f>
        <v>MMM 2012</v>
      </c>
      <c r="AF61" s="20" t="str">
        <f>ZZZ__FnCalls!F35</f>
        <v>MMM 2012</v>
      </c>
      <c r="AG61" s="20" t="str">
        <f>ZZZ__FnCalls!F36</f>
        <v>MMM 2012</v>
      </c>
      <c r="AH61" s="20" t="str">
        <f>ZZZ__FnCalls!F37</f>
        <v>MMM 2012</v>
      </c>
      <c r="AI61" s="20" t="str">
        <f>ZZZ__FnCalls!F38</f>
        <v>MMM 2012</v>
      </c>
      <c r="AJ61" s="20" t="str">
        <f>ZZZ__FnCalls!F39</f>
        <v>MMM 2012</v>
      </c>
      <c r="AK61" s="20" t="str">
        <f>ZZZ__FnCalls!F40</f>
        <v>MMM 2012</v>
      </c>
      <c r="AL61" s="20" t="str">
        <f>ZZZ__FnCalls!F41</f>
        <v>MMM 2012</v>
      </c>
      <c r="AM61" s="20" t="str">
        <f>ZZZ__FnCalls!F42</f>
        <v>MMM 2012</v>
      </c>
      <c r="AN61" s="21" t="str">
        <f>ZZZ__FnCalls!H31</f>
        <v>2012</v>
      </c>
      <c r="AO61" s="20" t="str">
        <f>ZZZ__FnCalls!F43</f>
        <v>MMM 2013</v>
      </c>
      <c r="AP61" s="20" t="str">
        <f>ZZZ__FnCalls!F44</f>
        <v>MMM 2013</v>
      </c>
      <c r="AQ61" s="20" t="str">
        <f>ZZZ__FnCalls!F45</f>
        <v>MMM 2013</v>
      </c>
      <c r="AR61" s="20" t="str">
        <f>ZZZ__FnCalls!F46</f>
        <v>MMM 2013</v>
      </c>
      <c r="AS61" s="20" t="str">
        <f>ZZZ__FnCalls!F47</f>
        <v>MMM 2013</v>
      </c>
      <c r="AT61" s="20" t="str">
        <f>ZZZ__FnCalls!F48</f>
        <v>MMM 2013</v>
      </c>
      <c r="AU61" s="20" t="str">
        <f>ZZZ__FnCalls!F49</f>
        <v>MMM 2013</v>
      </c>
      <c r="AV61" s="20" t="str">
        <f>ZZZ__FnCalls!F50</f>
        <v>MMM 2013</v>
      </c>
      <c r="AW61" s="20" t="str">
        <f>ZZZ__FnCalls!F51</f>
        <v>MMM 2013</v>
      </c>
      <c r="AX61" s="20" t="str">
        <f>ZZZ__FnCalls!F52</f>
        <v>MMM 2013</v>
      </c>
      <c r="AY61" s="20" t="str">
        <f>ZZZ__FnCalls!F53</f>
        <v>MMM 2013</v>
      </c>
      <c r="AZ61" s="20" t="str">
        <f>ZZZ__FnCalls!F54</f>
        <v>MMM 2013</v>
      </c>
      <c r="BA61" s="21" t="str">
        <f>ZZZ__FnCalls!H43</f>
        <v>2013</v>
      </c>
      <c r="BB61" s="20" t="str">
        <f>ZZZ__FnCalls!F55</f>
        <v>MMM 2014</v>
      </c>
      <c r="BC61" s="20" t="str">
        <f>ZZZ__FnCalls!F56</f>
        <v>MMM 2014</v>
      </c>
      <c r="BD61" s="20" t="str">
        <f>ZZZ__FnCalls!F57</f>
        <v>MMM 2014</v>
      </c>
      <c r="BE61" s="20" t="str">
        <f>ZZZ__FnCalls!F58</f>
        <v>MMM 2014</v>
      </c>
      <c r="BF61" s="20" t="str">
        <f>ZZZ__FnCalls!F59</f>
        <v>MMM 2014</v>
      </c>
      <c r="BG61" s="20" t="str">
        <f>ZZZ__FnCalls!F60</f>
        <v>MMM 2014</v>
      </c>
      <c r="BH61" s="20" t="str">
        <f>ZZZ__FnCalls!F61</f>
        <v>MMM 2014</v>
      </c>
      <c r="BI61" s="20" t="str">
        <f>ZZZ__FnCalls!F62</f>
        <v>MMM 2014</v>
      </c>
      <c r="BJ61" s="20" t="str">
        <f>ZZZ__FnCalls!F63</f>
        <v>MMM 2014</v>
      </c>
      <c r="BK61" s="20" t="str">
        <f>ZZZ__FnCalls!F64</f>
        <v>MMM 2014</v>
      </c>
      <c r="BL61" s="20" t="str">
        <f>ZZZ__FnCalls!F65</f>
        <v>MMM 2014</v>
      </c>
      <c r="BM61" s="20" t="str">
        <f>ZZZ__FnCalls!F66</f>
        <v>MMM 2014</v>
      </c>
      <c r="BN61" s="21" t="str">
        <f>ZZZ__FnCalls!H55</f>
        <v>2014</v>
      </c>
      <c r="BO61" s="20" t="str">
        <f>ZZZ__FnCalls!F67</f>
        <v>MMM 2015</v>
      </c>
      <c r="BP61" s="20" t="str">
        <f>ZZZ__FnCalls!F68</f>
        <v>MMM 2015</v>
      </c>
      <c r="BQ61" s="20" t="str">
        <f>ZZZ__FnCalls!F69</f>
        <v>MMM 2015</v>
      </c>
      <c r="BR61" s="20" t="str">
        <f>ZZZ__FnCalls!F70</f>
        <v>MMM 2015</v>
      </c>
      <c r="BS61" s="20" t="str">
        <f>ZZZ__FnCalls!F71</f>
        <v>MMM 2015</v>
      </c>
      <c r="BT61" s="20" t="str">
        <f>ZZZ__FnCalls!F72</f>
        <v>MMM 2015</v>
      </c>
      <c r="BU61" s="20" t="str">
        <f>ZZZ__FnCalls!F73</f>
        <v>MMM 2015</v>
      </c>
      <c r="BV61" s="20" t="str">
        <f>ZZZ__FnCalls!F74</f>
        <v>MMM 2015</v>
      </c>
      <c r="BW61" s="20" t="str">
        <f>ZZZ__FnCalls!F75</f>
        <v>MMM 2015</v>
      </c>
      <c r="BX61" s="20" t="str">
        <f>ZZZ__FnCalls!F76</f>
        <v>MMM 2015</v>
      </c>
      <c r="BY61" s="20" t="str">
        <f>ZZZ__FnCalls!F77</f>
        <v>MMM 2015</v>
      </c>
      <c r="BZ61" s="20" t="str">
        <f>ZZZ__FnCalls!F78</f>
        <v>MMM 2015</v>
      </c>
      <c r="CA61" s="21" t="str">
        <f>ZZZ__FnCalls!H67</f>
        <v>2015</v>
      </c>
      <c r="CB61" s="20" t="str">
        <f>ZZZ__FnCalls!F79</f>
        <v>MMM 2016</v>
      </c>
      <c r="CC61" s="20" t="str">
        <f>ZZZ__FnCalls!F80</f>
        <v>MMM 2016</v>
      </c>
      <c r="CD61" s="20" t="str">
        <f>ZZZ__FnCalls!F81</f>
        <v>MMM 2016</v>
      </c>
      <c r="CE61" s="20" t="str">
        <f>ZZZ__FnCalls!F82</f>
        <v>MMM 2016</v>
      </c>
      <c r="CF61" s="20" t="str">
        <f>ZZZ__FnCalls!F83</f>
        <v>MMM 2016</v>
      </c>
      <c r="CG61" s="20" t="str">
        <f>ZZZ__FnCalls!F84</f>
        <v>MMM 2016</v>
      </c>
      <c r="CH61" s="20" t="str">
        <f>ZZZ__FnCalls!F85</f>
        <v>MMM 2016</v>
      </c>
      <c r="CI61" s="20" t="str">
        <f>ZZZ__FnCalls!F86</f>
        <v>MMM 2016</v>
      </c>
      <c r="CJ61" s="20" t="str">
        <f>ZZZ__FnCalls!F87</f>
        <v>MMM 2016</v>
      </c>
      <c r="CK61" s="20" t="str">
        <f>ZZZ__FnCalls!F88</f>
        <v>MMM 2016</v>
      </c>
      <c r="CL61" s="20" t="str">
        <f>ZZZ__FnCalls!F89</f>
        <v>MMM 2016</v>
      </c>
      <c r="CM61" s="20" t="str">
        <f>ZZZ__FnCalls!F90</f>
        <v>MMM 2016</v>
      </c>
      <c r="CN61" s="21" t="str">
        <f>ZZZ__FnCalls!H79</f>
        <v>2016</v>
      </c>
      <c r="CO61" s="20" t="str">
        <f>ZZZ__FnCalls!F91</f>
        <v>MMM 2017</v>
      </c>
      <c r="CP61" s="20" t="str">
        <f>ZZZ__FnCalls!F92</f>
        <v>MMM 2017</v>
      </c>
      <c r="CQ61" s="20" t="str">
        <f>ZZZ__FnCalls!F93</f>
        <v>MMM 2017</v>
      </c>
      <c r="CR61" s="20" t="str">
        <f>ZZZ__FnCalls!F94</f>
        <v>MMM 2017</v>
      </c>
      <c r="CS61" s="20" t="str">
        <f>ZZZ__FnCalls!F95</f>
        <v>MMM 2017</v>
      </c>
      <c r="CT61" s="20" t="str">
        <f>ZZZ__FnCalls!F96</f>
        <v>MMM 2017</v>
      </c>
      <c r="CU61" s="20" t="str">
        <f>ZZZ__FnCalls!F97</f>
        <v>MMM 2017</v>
      </c>
      <c r="CV61" s="20" t="str">
        <f>ZZZ__FnCalls!F98</f>
        <v>MMM 2017</v>
      </c>
      <c r="CW61" s="20" t="str">
        <f>ZZZ__FnCalls!F99</f>
        <v>MMM 2017</v>
      </c>
      <c r="CX61" s="20" t="str">
        <f>ZZZ__FnCalls!F100</f>
        <v>MMM 2017</v>
      </c>
      <c r="CY61" s="20" t="str">
        <f>ZZZ__FnCalls!F101</f>
        <v>MMM 2017</v>
      </c>
      <c r="CZ61" s="20" t="str">
        <f>ZZZ__FnCalls!F102</f>
        <v>MMM 2017</v>
      </c>
      <c r="DA61" s="21" t="str">
        <f>ZZZ__FnCalls!H91</f>
        <v>2017</v>
      </c>
      <c r="DB61" s="20" t="str">
        <f>ZZZ__FnCalls!F103</f>
        <v>MMM 2018</v>
      </c>
      <c r="DC61" s="20" t="str">
        <f>ZZZ__FnCalls!F104</f>
        <v>MMM 2018</v>
      </c>
      <c r="DD61" s="20" t="str">
        <f>ZZZ__FnCalls!F105</f>
        <v>MMM 2018</v>
      </c>
      <c r="DE61" s="20" t="str">
        <f>ZZZ__FnCalls!F106</f>
        <v>MMM 2018</v>
      </c>
      <c r="DF61" s="20" t="str">
        <f>ZZZ__FnCalls!F107</f>
        <v>MMM 2018</v>
      </c>
      <c r="DG61" s="20" t="str">
        <f>ZZZ__FnCalls!F108</f>
        <v>MMM 2018</v>
      </c>
      <c r="DH61" s="20" t="str">
        <f>ZZZ__FnCalls!F109</f>
        <v>MMM 2018</v>
      </c>
      <c r="DI61" s="20" t="str">
        <f>ZZZ__FnCalls!F110</f>
        <v>MMM 2018</v>
      </c>
      <c r="DJ61" s="20" t="str">
        <f>ZZZ__FnCalls!F111</f>
        <v>MMM 2018</v>
      </c>
      <c r="DK61" s="20" t="str">
        <f>ZZZ__FnCalls!F112</f>
        <v>MMM 2018</v>
      </c>
      <c r="DL61" s="20" t="str">
        <f>ZZZ__FnCalls!F113</f>
        <v>MMM 2018</v>
      </c>
      <c r="DM61" s="20" t="str">
        <f>ZZZ__FnCalls!F114</f>
        <v>MMM 2018</v>
      </c>
      <c r="DN61" s="21" t="str">
        <f>ZZZ__FnCalls!H103</f>
        <v>2018</v>
      </c>
      <c r="DO61" s="20" t="str">
        <f>ZZZ__FnCalls!F115</f>
        <v>MMM 2019</v>
      </c>
      <c r="DP61" s="20" t="str">
        <f>ZZZ__FnCalls!F116</f>
        <v>MMM 2019</v>
      </c>
      <c r="DQ61" s="20" t="str">
        <f>ZZZ__FnCalls!F117</f>
        <v>MMM 2019</v>
      </c>
      <c r="DR61" s="20" t="str">
        <f>ZZZ__FnCalls!F118</f>
        <v>MMM 2019</v>
      </c>
      <c r="DS61" s="20" t="str">
        <f>ZZZ__FnCalls!F119</f>
        <v>MMM 2019</v>
      </c>
      <c r="DT61" s="20" t="str">
        <f>ZZZ__FnCalls!F120</f>
        <v>MMM 2019</v>
      </c>
      <c r="DU61" s="20" t="str">
        <f>ZZZ__FnCalls!F121</f>
        <v>MMM 2019</v>
      </c>
      <c r="DV61" s="20" t="str">
        <f>ZZZ__FnCalls!F122</f>
        <v>MMM 2019</v>
      </c>
      <c r="DW61" s="20" t="str">
        <f>ZZZ__FnCalls!F123</f>
        <v>MMM 2019</v>
      </c>
      <c r="DX61" s="20" t="str">
        <f>ZZZ__FnCalls!F124</f>
        <v>MMM 2019</v>
      </c>
      <c r="DY61" s="20" t="str">
        <f>ZZZ__FnCalls!F125</f>
        <v>MMM 2019</v>
      </c>
      <c r="DZ61" s="20" t="str">
        <f>ZZZ__FnCalls!F126</f>
        <v>MMM 2019</v>
      </c>
      <c r="EA61" s="21" t="str">
        <f>ZZZ__FnCalls!H115</f>
        <v>2019</v>
      </c>
      <c r="EB61" s="20" t="str">
        <f>ZZZ__FnCalls!F127</f>
        <v>MMM 2020</v>
      </c>
      <c r="EC61" s="20" t="str">
        <f>ZZZ__FnCalls!F128</f>
        <v>MMM 2020</v>
      </c>
      <c r="ED61" s="20" t="str">
        <f>ZZZ__FnCalls!F129</f>
        <v>MMM 2020</v>
      </c>
      <c r="EE61" s="20" t="str">
        <f>ZZZ__FnCalls!F130</f>
        <v>MMM 2020</v>
      </c>
      <c r="EF61" s="20" t="str">
        <f>ZZZ__FnCalls!F131</f>
        <v>MMM 2020</v>
      </c>
      <c r="EG61" s="20" t="str">
        <f>ZZZ__FnCalls!F132</f>
        <v>MMM 2020</v>
      </c>
      <c r="EH61" s="20" t="str">
        <f>ZZZ__FnCalls!F133</f>
        <v>MMM 2020</v>
      </c>
      <c r="EI61" s="20" t="str">
        <f>ZZZ__FnCalls!F134</f>
        <v>MMM 2020</v>
      </c>
      <c r="EJ61" s="20" t="str">
        <f>ZZZ__FnCalls!F135</f>
        <v>MMM 2020</v>
      </c>
      <c r="EK61" s="20" t="str">
        <f>ZZZ__FnCalls!F136</f>
        <v>MMM 2020</v>
      </c>
      <c r="EL61" s="20" t="str">
        <f>ZZZ__FnCalls!F137</f>
        <v>MMM 2020</v>
      </c>
      <c r="EM61" s="20" t="str">
        <f>ZZZ__FnCalls!F138</f>
        <v>MMM 2020</v>
      </c>
      <c r="EN61" s="21" t="str">
        <f>ZZZ__FnCalls!H127</f>
        <v>2020</v>
      </c>
    </row>
    <row r="62" spans="1:144" ht="12.75" customHeight="1" x14ac:dyDescent="0.2">
      <c r="A62" s="5"/>
      <c r="B62" s="46">
        <f>ZZZ__FnCalls!A7</f>
        <v>40179</v>
      </c>
      <c r="C62" s="46">
        <f>ZZZ__FnCalls!A8</f>
        <v>40210</v>
      </c>
      <c r="D62" s="46">
        <f>ZZZ__FnCalls!A9</f>
        <v>40238</v>
      </c>
      <c r="E62" s="46">
        <f>ZZZ__FnCalls!A10</f>
        <v>40269</v>
      </c>
      <c r="F62" s="46">
        <f>ZZZ__FnCalls!A11</f>
        <v>40299</v>
      </c>
      <c r="G62" s="46">
        <f>ZZZ__FnCalls!A12</f>
        <v>40330</v>
      </c>
      <c r="H62" s="46">
        <f>ZZZ__FnCalls!A13</f>
        <v>40360</v>
      </c>
      <c r="I62" s="46">
        <f>ZZZ__FnCalls!A14</f>
        <v>40391</v>
      </c>
      <c r="J62" s="46">
        <f>ZZZ__FnCalls!A15</f>
        <v>40422</v>
      </c>
      <c r="K62" s="46">
        <f>ZZZ__FnCalls!A16</f>
        <v>40452</v>
      </c>
      <c r="L62" s="46">
        <f>ZZZ__FnCalls!A17</f>
        <v>40483</v>
      </c>
      <c r="M62" s="46">
        <f>ZZZ__FnCalls!A18</f>
        <v>40513</v>
      </c>
      <c r="N62" s="47">
        <f>ZZZ__FnCalls!A7</f>
        <v>40179</v>
      </c>
      <c r="O62" s="46">
        <f>ZZZ__FnCalls!A19</f>
        <v>40544</v>
      </c>
      <c r="P62" s="46">
        <f>ZZZ__FnCalls!A20</f>
        <v>40575</v>
      </c>
      <c r="Q62" s="46">
        <f>ZZZ__FnCalls!A21</f>
        <v>40603</v>
      </c>
      <c r="R62" s="46">
        <f>ZZZ__FnCalls!A22</f>
        <v>40634</v>
      </c>
      <c r="S62" s="46">
        <f>ZZZ__FnCalls!A23</f>
        <v>40664</v>
      </c>
      <c r="T62" s="46">
        <f>ZZZ__FnCalls!A24</f>
        <v>40695</v>
      </c>
      <c r="U62" s="46">
        <f>ZZZ__FnCalls!A25</f>
        <v>40725</v>
      </c>
      <c r="V62" s="46">
        <f>ZZZ__FnCalls!A26</f>
        <v>40756</v>
      </c>
      <c r="W62" s="46">
        <f>ZZZ__FnCalls!A27</f>
        <v>40787</v>
      </c>
      <c r="X62" s="46">
        <f>ZZZ__FnCalls!A28</f>
        <v>40817</v>
      </c>
      <c r="Y62" s="46">
        <f>ZZZ__FnCalls!A29</f>
        <v>40848</v>
      </c>
      <c r="Z62" s="46">
        <f>ZZZ__FnCalls!A30</f>
        <v>40878</v>
      </c>
      <c r="AA62" s="47">
        <f>ZZZ__FnCalls!A19</f>
        <v>40544</v>
      </c>
      <c r="AB62" s="46">
        <f>ZZZ__FnCalls!A31</f>
        <v>40909</v>
      </c>
      <c r="AC62" s="46">
        <f>ZZZ__FnCalls!A32</f>
        <v>40940</v>
      </c>
      <c r="AD62" s="46">
        <f>ZZZ__FnCalls!A33</f>
        <v>40969</v>
      </c>
      <c r="AE62" s="46">
        <f>ZZZ__FnCalls!A34</f>
        <v>41000</v>
      </c>
      <c r="AF62" s="46">
        <f>ZZZ__FnCalls!A35</f>
        <v>41030</v>
      </c>
      <c r="AG62" s="46">
        <f>ZZZ__FnCalls!A36</f>
        <v>41061</v>
      </c>
      <c r="AH62" s="46">
        <f>ZZZ__FnCalls!A37</f>
        <v>41091</v>
      </c>
      <c r="AI62" s="46">
        <f>ZZZ__FnCalls!A38</f>
        <v>41122</v>
      </c>
      <c r="AJ62" s="46">
        <f>ZZZ__FnCalls!A39</f>
        <v>41153</v>
      </c>
      <c r="AK62" s="46">
        <f>ZZZ__FnCalls!A40</f>
        <v>41183</v>
      </c>
      <c r="AL62" s="46">
        <f>ZZZ__FnCalls!A41</f>
        <v>41214</v>
      </c>
      <c r="AM62" s="46">
        <f>ZZZ__FnCalls!A42</f>
        <v>41244</v>
      </c>
      <c r="AN62" s="47">
        <f>ZZZ__FnCalls!A31</f>
        <v>40909</v>
      </c>
      <c r="AO62" s="46">
        <f>ZZZ__FnCalls!A43</f>
        <v>41275</v>
      </c>
      <c r="AP62" s="46">
        <f>ZZZ__FnCalls!A44</f>
        <v>41306</v>
      </c>
      <c r="AQ62" s="46">
        <f>ZZZ__FnCalls!A45</f>
        <v>41334</v>
      </c>
      <c r="AR62" s="46">
        <f>ZZZ__FnCalls!A46</f>
        <v>41365</v>
      </c>
      <c r="AS62" s="46">
        <f>ZZZ__FnCalls!A47</f>
        <v>41395</v>
      </c>
      <c r="AT62" s="46">
        <f>ZZZ__FnCalls!A48</f>
        <v>41426</v>
      </c>
      <c r="AU62" s="46">
        <f>ZZZ__FnCalls!A49</f>
        <v>41456</v>
      </c>
      <c r="AV62" s="46">
        <f>ZZZ__FnCalls!A50</f>
        <v>41487</v>
      </c>
      <c r="AW62" s="46">
        <f>ZZZ__FnCalls!A51</f>
        <v>41518</v>
      </c>
      <c r="AX62" s="46">
        <f>ZZZ__FnCalls!A52</f>
        <v>41548</v>
      </c>
      <c r="AY62" s="46">
        <f>ZZZ__FnCalls!A53</f>
        <v>41579</v>
      </c>
      <c r="AZ62" s="46">
        <f>ZZZ__FnCalls!A54</f>
        <v>41609</v>
      </c>
      <c r="BA62" s="47">
        <f>ZZZ__FnCalls!A43</f>
        <v>41275</v>
      </c>
      <c r="BB62" s="46">
        <f>ZZZ__FnCalls!A55</f>
        <v>41640</v>
      </c>
      <c r="BC62" s="46">
        <f>ZZZ__FnCalls!A56</f>
        <v>41671</v>
      </c>
      <c r="BD62" s="46">
        <f>ZZZ__FnCalls!A57</f>
        <v>41699</v>
      </c>
      <c r="BE62" s="46">
        <f>ZZZ__FnCalls!A58</f>
        <v>41730</v>
      </c>
      <c r="BF62" s="46">
        <f>ZZZ__FnCalls!A59</f>
        <v>41760</v>
      </c>
      <c r="BG62" s="46">
        <f>ZZZ__FnCalls!A60</f>
        <v>41791</v>
      </c>
      <c r="BH62" s="46">
        <f>ZZZ__FnCalls!A61</f>
        <v>41821</v>
      </c>
      <c r="BI62" s="46">
        <f>ZZZ__FnCalls!A62</f>
        <v>41852</v>
      </c>
      <c r="BJ62" s="46">
        <f>ZZZ__FnCalls!A63</f>
        <v>41883</v>
      </c>
      <c r="BK62" s="46">
        <f>ZZZ__FnCalls!A64</f>
        <v>41913</v>
      </c>
      <c r="BL62" s="46">
        <f>ZZZ__FnCalls!A65</f>
        <v>41944</v>
      </c>
      <c r="BM62" s="46">
        <f>ZZZ__FnCalls!A66</f>
        <v>41974</v>
      </c>
      <c r="BN62" s="47">
        <f>ZZZ__FnCalls!A55</f>
        <v>41640</v>
      </c>
      <c r="BO62" s="46">
        <f>ZZZ__FnCalls!A67</f>
        <v>42005</v>
      </c>
      <c r="BP62" s="46">
        <f>ZZZ__FnCalls!A68</f>
        <v>42036</v>
      </c>
      <c r="BQ62" s="46">
        <f>ZZZ__FnCalls!A69</f>
        <v>42064</v>
      </c>
      <c r="BR62" s="46">
        <f>ZZZ__FnCalls!A70</f>
        <v>42095</v>
      </c>
      <c r="BS62" s="46">
        <f>ZZZ__FnCalls!A71</f>
        <v>42125</v>
      </c>
      <c r="BT62" s="46">
        <f>ZZZ__FnCalls!A72</f>
        <v>42156</v>
      </c>
      <c r="BU62" s="46">
        <f>ZZZ__FnCalls!A73</f>
        <v>42186</v>
      </c>
      <c r="BV62" s="46">
        <f>ZZZ__FnCalls!A74</f>
        <v>42217</v>
      </c>
      <c r="BW62" s="46">
        <f>ZZZ__FnCalls!A75</f>
        <v>42248</v>
      </c>
      <c r="BX62" s="46">
        <f>ZZZ__FnCalls!A76</f>
        <v>42278</v>
      </c>
      <c r="BY62" s="46">
        <f>ZZZ__FnCalls!A77</f>
        <v>42309</v>
      </c>
      <c r="BZ62" s="46">
        <f>ZZZ__FnCalls!A78</f>
        <v>42339</v>
      </c>
      <c r="CA62" s="47">
        <f>ZZZ__FnCalls!A67</f>
        <v>42005</v>
      </c>
      <c r="CB62" s="46">
        <f>ZZZ__FnCalls!A79</f>
        <v>42370</v>
      </c>
      <c r="CC62" s="46">
        <f>ZZZ__FnCalls!A80</f>
        <v>42401</v>
      </c>
      <c r="CD62" s="46">
        <f>ZZZ__FnCalls!A81</f>
        <v>42430</v>
      </c>
      <c r="CE62" s="46">
        <f>ZZZ__FnCalls!A82</f>
        <v>42461</v>
      </c>
      <c r="CF62" s="46">
        <f>ZZZ__FnCalls!A83</f>
        <v>42491</v>
      </c>
      <c r="CG62" s="46">
        <f>ZZZ__FnCalls!A84</f>
        <v>42522</v>
      </c>
      <c r="CH62" s="46">
        <f>ZZZ__FnCalls!A85</f>
        <v>42552</v>
      </c>
      <c r="CI62" s="46">
        <f>ZZZ__FnCalls!A86</f>
        <v>42583</v>
      </c>
      <c r="CJ62" s="46">
        <f>ZZZ__FnCalls!A87</f>
        <v>42614</v>
      </c>
      <c r="CK62" s="46">
        <f>ZZZ__FnCalls!A88</f>
        <v>42644</v>
      </c>
      <c r="CL62" s="46">
        <f>ZZZ__FnCalls!A89</f>
        <v>42675</v>
      </c>
      <c r="CM62" s="46">
        <f>ZZZ__FnCalls!A90</f>
        <v>42705</v>
      </c>
      <c r="CN62" s="47">
        <f>ZZZ__FnCalls!A79</f>
        <v>42370</v>
      </c>
      <c r="CO62" s="46">
        <f>ZZZ__FnCalls!A91</f>
        <v>42736</v>
      </c>
      <c r="CP62" s="46">
        <f>ZZZ__FnCalls!A92</f>
        <v>42767</v>
      </c>
      <c r="CQ62" s="46">
        <f>ZZZ__FnCalls!A93</f>
        <v>42795</v>
      </c>
      <c r="CR62" s="46">
        <f>ZZZ__FnCalls!A94</f>
        <v>42826</v>
      </c>
      <c r="CS62" s="46">
        <f>ZZZ__FnCalls!A95</f>
        <v>42856</v>
      </c>
      <c r="CT62" s="46">
        <f>ZZZ__FnCalls!A96</f>
        <v>42887</v>
      </c>
      <c r="CU62" s="46">
        <f>ZZZ__FnCalls!A97</f>
        <v>42917</v>
      </c>
      <c r="CV62" s="46">
        <f>ZZZ__FnCalls!A98</f>
        <v>42948</v>
      </c>
      <c r="CW62" s="46">
        <f>ZZZ__FnCalls!A99</f>
        <v>42979</v>
      </c>
      <c r="CX62" s="46">
        <f>ZZZ__FnCalls!A100</f>
        <v>43009</v>
      </c>
      <c r="CY62" s="46">
        <f>ZZZ__FnCalls!A101</f>
        <v>43040</v>
      </c>
      <c r="CZ62" s="46">
        <f>ZZZ__FnCalls!A102</f>
        <v>43070</v>
      </c>
      <c r="DA62" s="47">
        <f>ZZZ__FnCalls!A91</f>
        <v>42736</v>
      </c>
      <c r="DB62" s="46">
        <f>ZZZ__FnCalls!A103</f>
        <v>43101</v>
      </c>
      <c r="DC62" s="46">
        <f>ZZZ__FnCalls!A104</f>
        <v>43132</v>
      </c>
      <c r="DD62" s="46">
        <f>ZZZ__FnCalls!A105</f>
        <v>43160</v>
      </c>
      <c r="DE62" s="46">
        <f>ZZZ__FnCalls!A106</f>
        <v>43191</v>
      </c>
      <c r="DF62" s="46">
        <f>ZZZ__FnCalls!A107</f>
        <v>43221</v>
      </c>
      <c r="DG62" s="46">
        <f>ZZZ__FnCalls!A108</f>
        <v>43252</v>
      </c>
      <c r="DH62" s="46">
        <f>ZZZ__FnCalls!A109</f>
        <v>43282</v>
      </c>
      <c r="DI62" s="46">
        <f>ZZZ__FnCalls!A110</f>
        <v>43313</v>
      </c>
      <c r="DJ62" s="46">
        <f>ZZZ__FnCalls!A111</f>
        <v>43344</v>
      </c>
      <c r="DK62" s="46">
        <f>ZZZ__FnCalls!A112</f>
        <v>43374</v>
      </c>
      <c r="DL62" s="46">
        <f>ZZZ__FnCalls!A113</f>
        <v>43405</v>
      </c>
      <c r="DM62" s="46">
        <f>ZZZ__FnCalls!A114</f>
        <v>43435</v>
      </c>
      <c r="DN62" s="47">
        <f>ZZZ__FnCalls!A103</f>
        <v>43101</v>
      </c>
      <c r="DO62" s="46">
        <f>ZZZ__FnCalls!A115</f>
        <v>43466</v>
      </c>
      <c r="DP62" s="46">
        <f>ZZZ__FnCalls!A116</f>
        <v>43497</v>
      </c>
      <c r="DQ62" s="46">
        <f>ZZZ__FnCalls!A117</f>
        <v>43525</v>
      </c>
      <c r="DR62" s="46">
        <f>ZZZ__FnCalls!A118</f>
        <v>43556</v>
      </c>
      <c r="DS62" s="46">
        <f>ZZZ__FnCalls!A119</f>
        <v>43586</v>
      </c>
      <c r="DT62" s="46">
        <f>ZZZ__FnCalls!A120</f>
        <v>43617</v>
      </c>
      <c r="DU62" s="46">
        <f>ZZZ__FnCalls!A121</f>
        <v>43647</v>
      </c>
      <c r="DV62" s="46">
        <f>ZZZ__FnCalls!A122</f>
        <v>43678</v>
      </c>
      <c r="DW62" s="46">
        <f>ZZZ__FnCalls!A123</f>
        <v>43709</v>
      </c>
      <c r="DX62" s="46">
        <f>ZZZ__FnCalls!A124</f>
        <v>43739</v>
      </c>
      <c r="DY62" s="46">
        <f>ZZZ__FnCalls!A125</f>
        <v>43770</v>
      </c>
      <c r="DZ62" s="46">
        <f>ZZZ__FnCalls!A126</f>
        <v>43800</v>
      </c>
      <c r="EA62" s="47">
        <f>ZZZ__FnCalls!A115</f>
        <v>43466</v>
      </c>
      <c r="EB62" s="46">
        <f>ZZZ__FnCalls!A127</f>
        <v>43831</v>
      </c>
      <c r="EC62" s="46">
        <f>ZZZ__FnCalls!A128</f>
        <v>43862</v>
      </c>
      <c r="ED62" s="46">
        <f>ZZZ__FnCalls!A129</f>
        <v>43891</v>
      </c>
      <c r="EE62" s="46">
        <f>ZZZ__FnCalls!A130</f>
        <v>43922</v>
      </c>
      <c r="EF62" s="46">
        <f>ZZZ__FnCalls!A131</f>
        <v>43952</v>
      </c>
      <c r="EG62" s="46">
        <f>ZZZ__FnCalls!A132</f>
        <v>43983</v>
      </c>
      <c r="EH62" s="46">
        <f>ZZZ__FnCalls!A133</f>
        <v>44013</v>
      </c>
      <c r="EI62" s="46">
        <f>ZZZ__FnCalls!A134</f>
        <v>44044</v>
      </c>
      <c r="EJ62" s="46">
        <f>ZZZ__FnCalls!A135</f>
        <v>44075</v>
      </c>
      <c r="EK62" s="46">
        <f>ZZZ__FnCalls!A136</f>
        <v>44105</v>
      </c>
      <c r="EL62" s="46">
        <f>ZZZ__FnCalls!A137</f>
        <v>44136</v>
      </c>
      <c r="EM62" s="46">
        <f>ZZZ__FnCalls!A138</f>
        <v>44166</v>
      </c>
      <c r="EN62" s="47">
        <f>ZZZ__FnCalls!A127</f>
        <v>43831</v>
      </c>
    </row>
    <row r="63" spans="1:144" ht="12.75" customHeight="1" x14ac:dyDescent="0.2">
      <c r="A63" s="2" t="str">
        <f>"Demand_Expected_Short_2"</f>
        <v>Demand_Expected_Short_2</v>
      </c>
    </row>
    <row r="64" spans="1:144" ht="12.75" customHeight="1" x14ac:dyDescent="0.2">
      <c r="B64" s="19" t="str">
        <f>ZZZ__FnCalls!F7</f>
        <v>MMM 2010</v>
      </c>
      <c r="C64" s="20" t="str">
        <f>ZZZ__FnCalls!F8</f>
        <v>MMM 2010</v>
      </c>
      <c r="D64" s="20" t="str">
        <f>ZZZ__FnCalls!F9</f>
        <v>MMM 2010</v>
      </c>
      <c r="E64" s="20" t="str">
        <f>ZZZ__FnCalls!F10</f>
        <v>MMM 2010</v>
      </c>
      <c r="F64" s="20" t="str">
        <f>ZZZ__FnCalls!F11</f>
        <v>MMM 2010</v>
      </c>
      <c r="G64" s="20" t="str">
        <f>ZZZ__FnCalls!F12</f>
        <v>MMM 2010</v>
      </c>
      <c r="H64" s="20" t="str">
        <f>ZZZ__FnCalls!F13</f>
        <v>MMM 2010</v>
      </c>
      <c r="I64" s="20" t="str">
        <f>ZZZ__FnCalls!F14</f>
        <v>MMM 2010</v>
      </c>
      <c r="J64" s="20" t="str">
        <f>ZZZ__FnCalls!F15</f>
        <v>MMM 2010</v>
      </c>
      <c r="K64" s="20" t="str">
        <f>ZZZ__FnCalls!F16</f>
        <v>MMM 2010</v>
      </c>
      <c r="L64" s="20" t="str">
        <f>ZZZ__FnCalls!F17</f>
        <v>MMM 2010</v>
      </c>
      <c r="M64" s="20" t="str">
        <f>ZZZ__FnCalls!F18</f>
        <v>MMM 2010</v>
      </c>
      <c r="N64" s="21" t="str">
        <f>ZZZ__FnCalls!H7</f>
        <v>2010</v>
      </c>
      <c r="O64" s="20" t="str">
        <f>ZZZ__FnCalls!F19</f>
        <v>MMM 2011</v>
      </c>
      <c r="P64" s="20" t="str">
        <f>ZZZ__FnCalls!F20</f>
        <v>MMM 2011</v>
      </c>
      <c r="Q64" s="20" t="str">
        <f>ZZZ__FnCalls!F21</f>
        <v>MMM 2011</v>
      </c>
      <c r="R64" s="20" t="str">
        <f>ZZZ__FnCalls!F22</f>
        <v>MMM 2011</v>
      </c>
      <c r="S64" s="20" t="str">
        <f>ZZZ__FnCalls!F23</f>
        <v>MMM 2011</v>
      </c>
      <c r="T64" s="20" t="str">
        <f>ZZZ__FnCalls!F24</f>
        <v>MMM 2011</v>
      </c>
      <c r="U64" s="20" t="str">
        <f>ZZZ__FnCalls!F25</f>
        <v>MMM 2011</v>
      </c>
      <c r="V64" s="20" t="str">
        <f>ZZZ__FnCalls!F26</f>
        <v>MMM 2011</v>
      </c>
      <c r="W64" s="20" t="str">
        <f>ZZZ__FnCalls!F27</f>
        <v>MMM 2011</v>
      </c>
      <c r="X64" s="20" t="str">
        <f>ZZZ__FnCalls!F28</f>
        <v>MMM 2011</v>
      </c>
      <c r="Y64" s="20" t="str">
        <f>ZZZ__FnCalls!F29</f>
        <v>MMM 2011</v>
      </c>
      <c r="Z64" s="20" t="str">
        <f>ZZZ__FnCalls!F30</f>
        <v>MMM 2011</v>
      </c>
      <c r="AA64" s="21" t="str">
        <f>ZZZ__FnCalls!H19</f>
        <v>2011</v>
      </c>
      <c r="AB64" s="20" t="str">
        <f>ZZZ__FnCalls!F31</f>
        <v>MMM 2012</v>
      </c>
      <c r="AC64" s="20" t="str">
        <f>ZZZ__FnCalls!F32</f>
        <v>MMM 2012</v>
      </c>
      <c r="AD64" s="20" t="str">
        <f>ZZZ__FnCalls!F33</f>
        <v>MMM 2012</v>
      </c>
      <c r="AE64" s="20" t="str">
        <f>ZZZ__FnCalls!F34</f>
        <v>MMM 2012</v>
      </c>
      <c r="AF64" s="20" t="str">
        <f>ZZZ__FnCalls!F35</f>
        <v>MMM 2012</v>
      </c>
      <c r="AG64" s="20" t="str">
        <f>ZZZ__FnCalls!F36</f>
        <v>MMM 2012</v>
      </c>
      <c r="AH64" s="20" t="str">
        <f>ZZZ__FnCalls!F37</f>
        <v>MMM 2012</v>
      </c>
      <c r="AI64" s="20" t="str">
        <f>ZZZ__FnCalls!F38</f>
        <v>MMM 2012</v>
      </c>
      <c r="AJ64" s="20" t="str">
        <f>ZZZ__FnCalls!F39</f>
        <v>MMM 2012</v>
      </c>
      <c r="AK64" s="20" t="str">
        <f>ZZZ__FnCalls!F40</f>
        <v>MMM 2012</v>
      </c>
      <c r="AL64" s="20" t="str">
        <f>ZZZ__FnCalls!F41</f>
        <v>MMM 2012</v>
      </c>
      <c r="AM64" s="20" t="str">
        <f>ZZZ__FnCalls!F42</f>
        <v>MMM 2012</v>
      </c>
      <c r="AN64" s="21" t="str">
        <f>ZZZ__FnCalls!H31</f>
        <v>2012</v>
      </c>
      <c r="AO64" s="20" t="str">
        <f>ZZZ__FnCalls!F43</f>
        <v>MMM 2013</v>
      </c>
      <c r="AP64" s="20" t="str">
        <f>ZZZ__FnCalls!F44</f>
        <v>MMM 2013</v>
      </c>
      <c r="AQ64" s="20" t="str">
        <f>ZZZ__FnCalls!F45</f>
        <v>MMM 2013</v>
      </c>
      <c r="AR64" s="20" t="str">
        <f>ZZZ__FnCalls!F46</f>
        <v>MMM 2013</v>
      </c>
      <c r="AS64" s="20" t="str">
        <f>ZZZ__FnCalls!F47</f>
        <v>MMM 2013</v>
      </c>
      <c r="AT64" s="20" t="str">
        <f>ZZZ__FnCalls!F48</f>
        <v>MMM 2013</v>
      </c>
      <c r="AU64" s="20" t="str">
        <f>ZZZ__FnCalls!F49</f>
        <v>MMM 2013</v>
      </c>
      <c r="AV64" s="20" t="str">
        <f>ZZZ__FnCalls!F50</f>
        <v>MMM 2013</v>
      </c>
      <c r="AW64" s="20" t="str">
        <f>ZZZ__FnCalls!F51</f>
        <v>MMM 2013</v>
      </c>
      <c r="AX64" s="20" t="str">
        <f>ZZZ__FnCalls!F52</f>
        <v>MMM 2013</v>
      </c>
      <c r="AY64" s="20" t="str">
        <f>ZZZ__FnCalls!F53</f>
        <v>MMM 2013</v>
      </c>
      <c r="AZ64" s="20" t="str">
        <f>ZZZ__FnCalls!F54</f>
        <v>MMM 2013</v>
      </c>
      <c r="BA64" s="21" t="str">
        <f>ZZZ__FnCalls!H43</f>
        <v>2013</v>
      </c>
      <c r="BB64" s="20" t="str">
        <f>ZZZ__FnCalls!F55</f>
        <v>MMM 2014</v>
      </c>
      <c r="BC64" s="20" t="str">
        <f>ZZZ__FnCalls!F56</f>
        <v>MMM 2014</v>
      </c>
      <c r="BD64" s="20" t="str">
        <f>ZZZ__FnCalls!F57</f>
        <v>MMM 2014</v>
      </c>
      <c r="BE64" s="20" t="str">
        <f>ZZZ__FnCalls!F58</f>
        <v>MMM 2014</v>
      </c>
      <c r="BF64" s="20" t="str">
        <f>ZZZ__FnCalls!F59</f>
        <v>MMM 2014</v>
      </c>
      <c r="BG64" s="20" t="str">
        <f>ZZZ__FnCalls!F60</f>
        <v>MMM 2014</v>
      </c>
      <c r="BH64" s="20" t="str">
        <f>ZZZ__FnCalls!F61</f>
        <v>MMM 2014</v>
      </c>
      <c r="BI64" s="20" t="str">
        <f>ZZZ__FnCalls!F62</f>
        <v>MMM 2014</v>
      </c>
      <c r="BJ64" s="20" t="str">
        <f>ZZZ__FnCalls!F63</f>
        <v>MMM 2014</v>
      </c>
      <c r="BK64" s="20" t="str">
        <f>ZZZ__FnCalls!F64</f>
        <v>MMM 2014</v>
      </c>
      <c r="BL64" s="20" t="str">
        <f>ZZZ__FnCalls!F65</f>
        <v>MMM 2014</v>
      </c>
      <c r="BM64" s="20" t="str">
        <f>ZZZ__FnCalls!F66</f>
        <v>MMM 2014</v>
      </c>
      <c r="BN64" s="21" t="str">
        <f>ZZZ__FnCalls!H55</f>
        <v>2014</v>
      </c>
      <c r="BO64" s="20" t="str">
        <f>ZZZ__FnCalls!F67</f>
        <v>MMM 2015</v>
      </c>
      <c r="BP64" s="20" t="str">
        <f>ZZZ__FnCalls!F68</f>
        <v>MMM 2015</v>
      </c>
      <c r="BQ64" s="20" t="str">
        <f>ZZZ__FnCalls!F69</f>
        <v>MMM 2015</v>
      </c>
      <c r="BR64" s="20" t="str">
        <f>ZZZ__FnCalls!F70</f>
        <v>MMM 2015</v>
      </c>
      <c r="BS64" s="20" t="str">
        <f>ZZZ__FnCalls!F71</f>
        <v>MMM 2015</v>
      </c>
      <c r="BT64" s="20" t="str">
        <f>ZZZ__FnCalls!F72</f>
        <v>MMM 2015</v>
      </c>
      <c r="BU64" s="20" t="str">
        <f>ZZZ__FnCalls!F73</f>
        <v>MMM 2015</v>
      </c>
      <c r="BV64" s="20" t="str">
        <f>ZZZ__FnCalls!F74</f>
        <v>MMM 2015</v>
      </c>
      <c r="BW64" s="20" t="str">
        <f>ZZZ__FnCalls!F75</f>
        <v>MMM 2015</v>
      </c>
      <c r="BX64" s="20" t="str">
        <f>ZZZ__FnCalls!F76</f>
        <v>MMM 2015</v>
      </c>
      <c r="BY64" s="20" t="str">
        <f>ZZZ__FnCalls!F77</f>
        <v>MMM 2015</v>
      </c>
      <c r="BZ64" s="20" t="str">
        <f>ZZZ__FnCalls!F78</f>
        <v>MMM 2015</v>
      </c>
      <c r="CA64" s="21" t="str">
        <f>ZZZ__FnCalls!H67</f>
        <v>2015</v>
      </c>
      <c r="CB64" s="20" t="str">
        <f>ZZZ__FnCalls!F79</f>
        <v>MMM 2016</v>
      </c>
      <c r="CC64" s="20" t="str">
        <f>ZZZ__FnCalls!F80</f>
        <v>MMM 2016</v>
      </c>
      <c r="CD64" s="20" t="str">
        <f>ZZZ__FnCalls!F81</f>
        <v>MMM 2016</v>
      </c>
      <c r="CE64" s="20" t="str">
        <f>ZZZ__FnCalls!F82</f>
        <v>MMM 2016</v>
      </c>
      <c r="CF64" s="20" t="str">
        <f>ZZZ__FnCalls!F83</f>
        <v>MMM 2016</v>
      </c>
      <c r="CG64" s="20" t="str">
        <f>ZZZ__FnCalls!F84</f>
        <v>MMM 2016</v>
      </c>
      <c r="CH64" s="20" t="str">
        <f>ZZZ__FnCalls!F85</f>
        <v>MMM 2016</v>
      </c>
      <c r="CI64" s="20" t="str">
        <f>ZZZ__FnCalls!F86</f>
        <v>MMM 2016</v>
      </c>
      <c r="CJ64" s="20" t="str">
        <f>ZZZ__FnCalls!F87</f>
        <v>MMM 2016</v>
      </c>
      <c r="CK64" s="20" t="str">
        <f>ZZZ__FnCalls!F88</f>
        <v>MMM 2016</v>
      </c>
      <c r="CL64" s="20" t="str">
        <f>ZZZ__FnCalls!F89</f>
        <v>MMM 2016</v>
      </c>
      <c r="CM64" s="20" t="str">
        <f>ZZZ__FnCalls!F90</f>
        <v>MMM 2016</v>
      </c>
      <c r="CN64" s="21" t="str">
        <f>ZZZ__FnCalls!H79</f>
        <v>2016</v>
      </c>
      <c r="CO64" s="20" t="str">
        <f>ZZZ__FnCalls!F91</f>
        <v>MMM 2017</v>
      </c>
      <c r="CP64" s="20" t="str">
        <f>ZZZ__FnCalls!F92</f>
        <v>MMM 2017</v>
      </c>
      <c r="CQ64" s="20" t="str">
        <f>ZZZ__FnCalls!F93</f>
        <v>MMM 2017</v>
      </c>
      <c r="CR64" s="20" t="str">
        <f>ZZZ__FnCalls!F94</f>
        <v>MMM 2017</v>
      </c>
      <c r="CS64" s="20" t="str">
        <f>ZZZ__FnCalls!F95</f>
        <v>MMM 2017</v>
      </c>
      <c r="CT64" s="20" t="str">
        <f>ZZZ__FnCalls!F96</f>
        <v>MMM 2017</v>
      </c>
      <c r="CU64" s="20" t="str">
        <f>ZZZ__FnCalls!F97</f>
        <v>MMM 2017</v>
      </c>
      <c r="CV64" s="20" t="str">
        <f>ZZZ__FnCalls!F98</f>
        <v>MMM 2017</v>
      </c>
      <c r="CW64" s="20" t="str">
        <f>ZZZ__FnCalls!F99</f>
        <v>MMM 2017</v>
      </c>
      <c r="CX64" s="20" t="str">
        <f>ZZZ__FnCalls!F100</f>
        <v>MMM 2017</v>
      </c>
      <c r="CY64" s="20" t="str">
        <f>ZZZ__FnCalls!F101</f>
        <v>MMM 2017</v>
      </c>
      <c r="CZ64" s="20" t="str">
        <f>ZZZ__FnCalls!F102</f>
        <v>MMM 2017</v>
      </c>
      <c r="DA64" s="21" t="str">
        <f>ZZZ__FnCalls!H91</f>
        <v>2017</v>
      </c>
      <c r="DB64" s="20" t="str">
        <f>ZZZ__FnCalls!F103</f>
        <v>MMM 2018</v>
      </c>
      <c r="DC64" s="20" t="str">
        <f>ZZZ__FnCalls!F104</f>
        <v>MMM 2018</v>
      </c>
      <c r="DD64" s="20" t="str">
        <f>ZZZ__FnCalls!F105</f>
        <v>MMM 2018</v>
      </c>
      <c r="DE64" s="20" t="str">
        <f>ZZZ__FnCalls!F106</f>
        <v>MMM 2018</v>
      </c>
      <c r="DF64" s="20" t="str">
        <f>ZZZ__FnCalls!F107</f>
        <v>MMM 2018</v>
      </c>
      <c r="DG64" s="20" t="str">
        <f>ZZZ__FnCalls!F108</f>
        <v>MMM 2018</v>
      </c>
      <c r="DH64" s="20" t="str">
        <f>ZZZ__FnCalls!F109</f>
        <v>MMM 2018</v>
      </c>
      <c r="DI64" s="20" t="str">
        <f>ZZZ__FnCalls!F110</f>
        <v>MMM 2018</v>
      </c>
      <c r="DJ64" s="20" t="str">
        <f>ZZZ__FnCalls!F111</f>
        <v>MMM 2018</v>
      </c>
      <c r="DK64" s="20" t="str">
        <f>ZZZ__FnCalls!F112</f>
        <v>MMM 2018</v>
      </c>
      <c r="DL64" s="20" t="str">
        <f>ZZZ__FnCalls!F113</f>
        <v>MMM 2018</v>
      </c>
      <c r="DM64" s="20" t="str">
        <f>ZZZ__FnCalls!F114</f>
        <v>MMM 2018</v>
      </c>
      <c r="DN64" s="21" t="str">
        <f>ZZZ__FnCalls!H103</f>
        <v>2018</v>
      </c>
      <c r="DO64" s="20" t="str">
        <f>ZZZ__FnCalls!F115</f>
        <v>MMM 2019</v>
      </c>
      <c r="DP64" s="20" t="str">
        <f>ZZZ__FnCalls!F116</f>
        <v>MMM 2019</v>
      </c>
      <c r="DQ64" s="20" t="str">
        <f>ZZZ__FnCalls!F117</f>
        <v>MMM 2019</v>
      </c>
      <c r="DR64" s="20" t="str">
        <f>ZZZ__FnCalls!F118</f>
        <v>MMM 2019</v>
      </c>
      <c r="DS64" s="20" t="str">
        <f>ZZZ__FnCalls!F119</f>
        <v>MMM 2019</v>
      </c>
      <c r="DT64" s="20" t="str">
        <f>ZZZ__FnCalls!F120</f>
        <v>MMM 2019</v>
      </c>
      <c r="DU64" s="20" t="str">
        <f>ZZZ__FnCalls!F121</f>
        <v>MMM 2019</v>
      </c>
      <c r="DV64" s="20" t="str">
        <f>ZZZ__FnCalls!F122</f>
        <v>MMM 2019</v>
      </c>
      <c r="DW64" s="20" t="str">
        <f>ZZZ__FnCalls!F123</f>
        <v>MMM 2019</v>
      </c>
      <c r="DX64" s="20" t="str">
        <f>ZZZ__FnCalls!F124</f>
        <v>MMM 2019</v>
      </c>
      <c r="DY64" s="20" t="str">
        <f>ZZZ__FnCalls!F125</f>
        <v>MMM 2019</v>
      </c>
      <c r="DZ64" s="20" t="str">
        <f>ZZZ__FnCalls!F126</f>
        <v>MMM 2019</v>
      </c>
      <c r="EA64" s="21" t="str">
        <f>ZZZ__FnCalls!H115</f>
        <v>2019</v>
      </c>
      <c r="EB64" s="20" t="str">
        <f>ZZZ__FnCalls!F127</f>
        <v>MMM 2020</v>
      </c>
      <c r="EC64" s="20" t="str">
        <f>ZZZ__FnCalls!F128</f>
        <v>MMM 2020</v>
      </c>
      <c r="ED64" s="20" t="str">
        <f>ZZZ__FnCalls!F129</f>
        <v>MMM 2020</v>
      </c>
      <c r="EE64" s="20" t="str">
        <f>ZZZ__FnCalls!F130</f>
        <v>MMM 2020</v>
      </c>
      <c r="EF64" s="20" t="str">
        <f>ZZZ__FnCalls!F131</f>
        <v>MMM 2020</v>
      </c>
      <c r="EG64" s="20" t="str">
        <f>ZZZ__FnCalls!F132</f>
        <v>MMM 2020</v>
      </c>
      <c r="EH64" s="20" t="str">
        <f>ZZZ__FnCalls!F133</f>
        <v>MMM 2020</v>
      </c>
      <c r="EI64" s="20" t="str">
        <f>ZZZ__FnCalls!F134</f>
        <v>MMM 2020</v>
      </c>
      <c r="EJ64" s="20" t="str">
        <f>ZZZ__FnCalls!F135</f>
        <v>MMM 2020</v>
      </c>
      <c r="EK64" s="20" t="str">
        <f>ZZZ__FnCalls!F136</f>
        <v>MMM 2020</v>
      </c>
      <c r="EL64" s="20" t="str">
        <f>ZZZ__FnCalls!F137</f>
        <v>MMM 2020</v>
      </c>
      <c r="EM64" s="20" t="str">
        <f>ZZZ__FnCalls!F138</f>
        <v>MMM 2020</v>
      </c>
      <c r="EN64" s="21" t="str">
        <f>ZZZ__FnCalls!H127</f>
        <v>2020</v>
      </c>
    </row>
    <row r="65" spans="1:144" ht="12.75" customHeight="1" x14ac:dyDescent="0.2">
      <c r="A65" s="5"/>
      <c r="B65" s="46" t="str">
        <f>ZZZ__FnCalls!F7</f>
        <v>MMM 2010</v>
      </c>
      <c r="C65" s="46" t="str">
        <f>ZZZ__FnCalls!F8</f>
        <v>MMM 2010</v>
      </c>
      <c r="D65" s="46" t="str">
        <f>ZZZ__FnCalls!F9</f>
        <v>MMM 2010</v>
      </c>
      <c r="E65" s="46" t="str">
        <f>ZZZ__FnCalls!F10</f>
        <v>MMM 2010</v>
      </c>
      <c r="F65" s="46" t="str">
        <f>ZZZ__FnCalls!F11</f>
        <v>MMM 2010</v>
      </c>
      <c r="G65" s="46" t="str">
        <f>ZZZ__FnCalls!F12</f>
        <v>MMM 2010</v>
      </c>
      <c r="H65" s="46" t="str">
        <f>ZZZ__FnCalls!F13</f>
        <v>MMM 2010</v>
      </c>
      <c r="I65" s="46" t="str">
        <f>ZZZ__FnCalls!F14</f>
        <v>MMM 2010</v>
      </c>
      <c r="J65" s="46" t="str">
        <f>ZZZ__FnCalls!F15</f>
        <v>MMM 2010</v>
      </c>
      <c r="K65" s="46" t="str">
        <f>ZZZ__FnCalls!F16</f>
        <v>MMM 2010</v>
      </c>
      <c r="L65" s="46" t="str">
        <f>ZZZ__FnCalls!F17</f>
        <v>MMM 2010</v>
      </c>
      <c r="M65" s="46" t="str">
        <f>ZZZ__FnCalls!F18</f>
        <v>MMM 2010</v>
      </c>
      <c r="N65" s="47" t="str">
        <f>ZZZ__FnCalls!F7</f>
        <v>MMM 2010</v>
      </c>
      <c r="O65" s="46" t="str">
        <f>ZZZ__FnCalls!F19</f>
        <v>MMM 2011</v>
      </c>
      <c r="P65" s="46" t="str">
        <f>ZZZ__FnCalls!F20</f>
        <v>MMM 2011</v>
      </c>
      <c r="Q65" s="46" t="str">
        <f>ZZZ__FnCalls!F21</f>
        <v>MMM 2011</v>
      </c>
      <c r="R65" s="46" t="str">
        <f>ZZZ__FnCalls!F22</f>
        <v>MMM 2011</v>
      </c>
      <c r="S65" s="46" t="str">
        <f>ZZZ__FnCalls!F23</f>
        <v>MMM 2011</v>
      </c>
      <c r="T65" s="46" t="str">
        <f>ZZZ__FnCalls!F24</f>
        <v>MMM 2011</v>
      </c>
      <c r="U65" s="46" t="str">
        <f>ZZZ__FnCalls!F25</f>
        <v>MMM 2011</v>
      </c>
      <c r="V65" s="46" t="str">
        <f>ZZZ__FnCalls!F26</f>
        <v>MMM 2011</v>
      </c>
      <c r="W65" s="46" t="str">
        <f>ZZZ__FnCalls!F27</f>
        <v>MMM 2011</v>
      </c>
      <c r="X65" s="46" t="str">
        <f>ZZZ__FnCalls!F28</f>
        <v>MMM 2011</v>
      </c>
      <c r="Y65" s="46" t="str">
        <f>ZZZ__FnCalls!F29</f>
        <v>MMM 2011</v>
      </c>
      <c r="Z65" s="46" t="str">
        <f>ZZZ__FnCalls!F30</f>
        <v>MMM 2011</v>
      </c>
      <c r="AA65" s="47" t="str">
        <f>ZZZ__FnCalls!F19</f>
        <v>MMM 2011</v>
      </c>
      <c r="AB65" s="46" t="str">
        <f>ZZZ__FnCalls!F31</f>
        <v>MMM 2012</v>
      </c>
      <c r="AC65" s="46" t="str">
        <f>ZZZ__FnCalls!F32</f>
        <v>MMM 2012</v>
      </c>
      <c r="AD65" s="46" t="str">
        <f>ZZZ__FnCalls!F33</f>
        <v>MMM 2012</v>
      </c>
      <c r="AE65" s="46" t="str">
        <f>ZZZ__FnCalls!F34</f>
        <v>MMM 2012</v>
      </c>
      <c r="AF65" s="46" t="str">
        <f>ZZZ__FnCalls!F35</f>
        <v>MMM 2012</v>
      </c>
      <c r="AG65" s="46" t="str">
        <f>ZZZ__FnCalls!F36</f>
        <v>MMM 2012</v>
      </c>
      <c r="AH65" s="46" t="str">
        <f>ZZZ__FnCalls!F37</f>
        <v>MMM 2012</v>
      </c>
      <c r="AI65" s="46" t="str">
        <f>ZZZ__FnCalls!F38</f>
        <v>MMM 2012</v>
      </c>
      <c r="AJ65" s="46" t="str">
        <f>ZZZ__FnCalls!F39</f>
        <v>MMM 2012</v>
      </c>
      <c r="AK65" s="46" t="str">
        <f>ZZZ__FnCalls!F40</f>
        <v>MMM 2012</v>
      </c>
      <c r="AL65" s="46" t="str">
        <f>ZZZ__FnCalls!F41</f>
        <v>MMM 2012</v>
      </c>
      <c r="AM65" s="46" t="str">
        <f>ZZZ__FnCalls!F42</f>
        <v>MMM 2012</v>
      </c>
      <c r="AN65" s="47" t="str">
        <f>ZZZ__FnCalls!F31</f>
        <v>MMM 2012</v>
      </c>
      <c r="AO65" s="46" t="str">
        <f>ZZZ__FnCalls!F43</f>
        <v>MMM 2013</v>
      </c>
      <c r="AP65" s="46" t="str">
        <f>ZZZ__FnCalls!F44</f>
        <v>MMM 2013</v>
      </c>
      <c r="AQ65" s="46" t="str">
        <f>ZZZ__FnCalls!F45</f>
        <v>MMM 2013</v>
      </c>
      <c r="AR65" s="46" t="str">
        <f>ZZZ__FnCalls!F46</f>
        <v>MMM 2013</v>
      </c>
      <c r="AS65" s="46" t="str">
        <f>ZZZ__FnCalls!F47</f>
        <v>MMM 2013</v>
      </c>
      <c r="AT65" s="46" t="str">
        <f>ZZZ__FnCalls!F48</f>
        <v>MMM 2013</v>
      </c>
      <c r="AU65" s="46" t="str">
        <f>ZZZ__FnCalls!F49</f>
        <v>MMM 2013</v>
      </c>
      <c r="AV65" s="46" t="str">
        <f>ZZZ__FnCalls!F50</f>
        <v>MMM 2013</v>
      </c>
      <c r="AW65" s="46" t="str">
        <f>ZZZ__FnCalls!F51</f>
        <v>MMM 2013</v>
      </c>
      <c r="AX65" s="46" t="str">
        <f>ZZZ__FnCalls!F52</f>
        <v>MMM 2013</v>
      </c>
      <c r="AY65" s="46" t="str">
        <f>ZZZ__FnCalls!F53</f>
        <v>MMM 2013</v>
      </c>
      <c r="AZ65" s="46" t="str">
        <f>ZZZ__FnCalls!F54</f>
        <v>MMM 2013</v>
      </c>
      <c r="BA65" s="47" t="str">
        <f>ZZZ__FnCalls!F43</f>
        <v>MMM 2013</v>
      </c>
      <c r="BB65" s="46" t="str">
        <f>ZZZ__FnCalls!F55</f>
        <v>MMM 2014</v>
      </c>
      <c r="BC65" s="46" t="str">
        <f>ZZZ__FnCalls!F56</f>
        <v>MMM 2014</v>
      </c>
      <c r="BD65" s="46" t="str">
        <f>ZZZ__FnCalls!F57</f>
        <v>MMM 2014</v>
      </c>
      <c r="BE65" s="46" t="str">
        <f>ZZZ__FnCalls!F58</f>
        <v>MMM 2014</v>
      </c>
      <c r="BF65" s="46" t="str">
        <f>ZZZ__FnCalls!F59</f>
        <v>MMM 2014</v>
      </c>
      <c r="BG65" s="46" t="str">
        <f>ZZZ__FnCalls!F60</f>
        <v>MMM 2014</v>
      </c>
      <c r="BH65" s="46" t="str">
        <f>ZZZ__FnCalls!F61</f>
        <v>MMM 2014</v>
      </c>
      <c r="BI65" s="46" t="str">
        <f>ZZZ__FnCalls!F62</f>
        <v>MMM 2014</v>
      </c>
      <c r="BJ65" s="46" t="str">
        <f>ZZZ__FnCalls!F63</f>
        <v>MMM 2014</v>
      </c>
      <c r="BK65" s="46" t="str">
        <f>ZZZ__FnCalls!F64</f>
        <v>MMM 2014</v>
      </c>
      <c r="BL65" s="46" t="str">
        <f>ZZZ__FnCalls!F65</f>
        <v>MMM 2014</v>
      </c>
      <c r="BM65" s="46" t="str">
        <f>ZZZ__FnCalls!F66</f>
        <v>MMM 2014</v>
      </c>
      <c r="BN65" s="47" t="str">
        <f>ZZZ__FnCalls!F55</f>
        <v>MMM 2014</v>
      </c>
      <c r="BO65" s="46" t="str">
        <f>ZZZ__FnCalls!F67</f>
        <v>MMM 2015</v>
      </c>
      <c r="BP65" s="46" t="str">
        <f>ZZZ__FnCalls!F68</f>
        <v>MMM 2015</v>
      </c>
      <c r="BQ65" s="46" t="str">
        <f>ZZZ__FnCalls!F69</f>
        <v>MMM 2015</v>
      </c>
      <c r="BR65" s="46" t="str">
        <f>ZZZ__FnCalls!F70</f>
        <v>MMM 2015</v>
      </c>
      <c r="BS65" s="46" t="str">
        <f>ZZZ__FnCalls!F71</f>
        <v>MMM 2015</v>
      </c>
      <c r="BT65" s="46" t="str">
        <f>ZZZ__FnCalls!F72</f>
        <v>MMM 2015</v>
      </c>
      <c r="BU65" s="46" t="str">
        <f>ZZZ__FnCalls!F73</f>
        <v>MMM 2015</v>
      </c>
      <c r="BV65" s="46" t="str">
        <f>ZZZ__FnCalls!F74</f>
        <v>MMM 2015</v>
      </c>
      <c r="BW65" s="46" t="str">
        <f>ZZZ__FnCalls!F75</f>
        <v>MMM 2015</v>
      </c>
      <c r="BX65" s="46" t="str">
        <f>ZZZ__FnCalls!F76</f>
        <v>MMM 2015</v>
      </c>
      <c r="BY65" s="46" t="str">
        <f>ZZZ__FnCalls!F77</f>
        <v>MMM 2015</v>
      </c>
      <c r="BZ65" s="46" t="str">
        <f>ZZZ__FnCalls!F78</f>
        <v>MMM 2015</v>
      </c>
      <c r="CA65" s="47" t="str">
        <f>ZZZ__FnCalls!F67</f>
        <v>MMM 2015</v>
      </c>
      <c r="CB65" s="46" t="str">
        <f>ZZZ__FnCalls!F79</f>
        <v>MMM 2016</v>
      </c>
      <c r="CC65" s="46" t="str">
        <f>ZZZ__FnCalls!F80</f>
        <v>MMM 2016</v>
      </c>
      <c r="CD65" s="46" t="str">
        <f>ZZZ__FnCalls!F81</f>
        <v>MMM 2016</v>
      </c>
      <c r="CE65" s="46" t="str">
        <f>ZZZ__FnCalls!F82</f>
        <v>MMM 2016</v>
      </c>
      <c r="CF65" s="46" t="str">
        <f>ZZZ__FnCalls!F83</f>
        <v>MMM 2016</v>
      </c>
      <c r="CG65" s="46" t="str">
        <f>ZZZ__FnCalls!F84</f>
        <v>MMM 2016</v>
      </c>
      <c r="CH65" s="46" t="str">
        <f>ZZZ__FnCalls!F85</f>
        <v>MMM 2016</v>
      </c>
      <c r="CI65" s="46" t="str">
        <f>ZZZ__FnCalls!F86</f>
        <v>MMM 2016</v>
      </c>
      <c r="CJ65" s="46" t="str">
        <f>ZZZ__FnCalls!F87</f>
        <v>MMM 2016</v>
      </c>
      <c r="CK65" s="46" t="str">
        <f>ZZZ__FnCalls!F88</f>
        <v>MMM 2016</v>
      </c>
      <c r="CL65" s="46" t="str">
        <f>ZZZ__FnCalls!F89</f>
        <v>MMM 2016</v>
      </c>
      <c r="CM65" s="46" t="str">
        <f>ZZZ__FnCalls!F90</f>
        <v>MMM 2016</v>
      </c>
      <c r="CN65" s="47" t="str">
        <f>ZZZ__FnCalls!F79</f>
        <v>MMM 2016</v>
      </c>
      <c r="CO65" s="46" t="str">
        <f>ZZZ__FnCalls!F91</f>
        <v>MMM 2017</v>
      </c>
      <c r="CP65" s="46" t="str">
        <f>ZZZ__FnCalls!F92</f>
        <v>MMM 2017</v>
      </c>
      <c r="CQ65" s="46" t="str">
        <f>ZZZ__FnCalls!F93</f>
        <v>MMM 2017</v>
      </c>
      <c r="CR65" s="46" t="str">
        <f>ZZZ__FnCalls!F94</f>
        <v>MMM 2017</v>
      </c>
      <c r="CS65" s="46" t="str">
        <f>ZZZ__FnCalls!F95</f>
        <v>MMM 2017</v>
      </c>
      <c r="CT65" s="46" t="str">
        <f>ZZZ__FnCalls!F96</f>
        <v>MMM 2017</v>
      </c>
      <c r="CU65" s="46" t="str">
        <f>ZZZ__FnCalls!F97</f>
        <v>MMM 2017</v>
      </c>
      <c r="CV65" s="46" t="str">
        <f>ZZZ__FnCalls!F98</f>
        <v>MMM 2017</v>
      </c>
      <c r="CW65" s="46" t="str">
        <f>ZZZ__FnCalls!F99</f>
        <v>MMM 2017</v>
      </c>
      <c r="CX65" s="46" t="str">
        <f>ZZZ__FnCalls!F100</f>
        <v>MMM 2017</v>
      </c>
      <c r="CY65" s="46" t="str">
        <f>ZZZ__FnCalls!F101</f>
        <v>MMM 2017</v>
      </c>
      <c r="CZ65" s="46" t="str">
        <f>ZZZ__FnCalls!F102</f>
        <v>MMM 2017</v>
      </c>
      <c r="DA65" s="47" t="str">
        <f>ZZZ__FnCalls!F91</f>
        <v>MMM 2017</v>
      </c>
      <c r="DB65" s="46" t="str">
        <f>ZZZ__FnCalls!F103</f>
        <v>MMM 2018</v>
      </c>
      <c r="DC65" s="46" t="str">
        <f>ZZZ__FnCalls!F104</f>
        <v>MMM 2018</v>
      </c>
      <c r="DD65" s="46" t="str">
        <f>ZZZ__FnCalls!F105</f>
        <v>MMM 2018</v>
      </c>
      <c r="DE65" s="46" t="str">
        <f>ZZZ__FnCalls!F106</f>
        <v>MMM 2018</v>
      </c>
      <c r="DF65" s="46" t="str">
        <f>ZZZ__FnCalls!F107</f>
        <v>MMM 2018</v>
      </c>
      <c r="DG65" s="46" t="str">
        <f>ZZZ__FnCalls!F108</f>
        <v>MMM 2018</v>
      </c>
      <c r="DH65" s="46" t="str">
        <f>ZZZ__FnCalls!F109</f>
        <v>MMM 2018</v>
      </c>
      <c r="DI65" s="46" t="str">
        <f>ZZZ__FnCalls!F110</f>
        <v>MMM 2018</v>
      </c>
      <c r="DJ65" s="46" t="str">
        <f>ZZZ__FnCalls!F111</f>
        <v>MMM 2018</v>
      </c>
      <c r="DK65" s="46" t="str">
        <f>ZZZ__FnCalls!F112</f>
        <v>MMM 2018</v>
      </c>
      <c r="DL65" s="46" t="str">
        <f>ZZZ__FnCalls!F113</f>
        <v>MMM 2018</v>
      </c>
      <c r="DM65" s="46" t="str">
        <f>ZZZ__FnCalls!F114</f>
        <v>MMM 2018</v>
      </c>
      <c r="DN65" s="47" t="str">
        <f>ZZZ__FnCalls!F103</f>
        <v>MMM 2018</v>
      </c>
      <c r="DO65" s="46" t="str">
        <f>ZZZ__FnCalls!F115</f>
        <v>MMM 2019</v>
      </c>
      <c r="DP65" s="46" t="str">
        <f>ZZZ__FnCalls!F116</f>
        <v>MMM 2019</v>
      </c>
      <c r="DQ65" s="46" t="str">
        <f>ZZZ__FnCalls!F117</f>
        <v>MMM 2019</v>
      </c>
      <c r="DR65" s="46" t="str">
        <f>ZZZ__FnCalls!F118</f>
        <v>MMM 2019</v>
      </c>
      <c r="DS65" s="46" t="str">
        <f>ZZZ__FnCalls!F119</f>
        <v>MMM 2019</v>
      </c>
      <c r="DT65" s="46" t="str">
        <f>ZZZ__FnCalls!F120</f>
        <v>MMM 2019</v>
      </c>
      <c r="DU65" s="46" t="str">
        <f>ZZZ__FnCalls!F121</f>
        <v>MMM 2019</v>
      </c>
      <c r="DV65" s="46" t="str">
        <f>ZZZ__FnCalls!F122</f>
        <v>MMM 2019</v>
      </c>
      <c r="DW65" s="46" t="str">
        <f>ZZZ__FnCalls!F123</f>
        <v>MMM 2019</v>
      </c>
      <c r="DX65" s="46" t="str">
        <f>ZZZ__FnCalls!F124</f>
        <v>MMM 2019</v>
      </c>
      <c r="DY65" s="46" t="str">
        <f>ZZZ__FnCalls!F125</f>
        <v>MMM 2019</v>
      </c>
      <c r="DZ65" s="46" t="str">
        <f>ZZZ__FnCalls!F126</f>
        <v>MMM 2019</v>
      </c>
      <c r="EA65" s="47" t="str">
        <f>ZZZ__FnCalls!F115</f>
        <v>MMM 2019</v>
      </c>
      <c r="EB65" s="46" t="str">
        <f>ZZZ__FnCalls!F127</f>
        <v>MMM 2020</v>
      </c>
      <c r="EC65" s="46" t="str">
        <f>ZZZ__FnCalls!F128</f>
        <v>MMM 2020</v>
      </c>
      <c r="ED65" s="46" t="str">
        <f>ZZZ__FnCalls!F129</f>
        <v>MMM 2020</v>
      </c>
      <c r="EE65" s="46" t="str">
        <f>ZZZ__FnCalls!F130</f>
        <v>MMM 2020</v>
      </c>
      <c r="EF65" s="46" t="str">
        <f>ZZZ__FnCalls!F131</f>
        <v>MMM 2020</v>
      </c>
      <c r="EG65" s="46" t="str">
        <f>ZZZ__FnCalls!F132</f>
        <v>MMM 2020</v>
      </c>
      <c r="EH65" s="46" t="str">
        <f>ZZZ__FnCalls!F133</f>
        <v>MMM 2020</v>
      </c>
      <c r="EI65" s="46" t="str">
        <f>ZZZ__FnCalls!F134</f>
        <v>MMM 2020</v>
      </c>
      <c r="EJ65" s="46" t="str">
        <f>ZZZ__FnCalls!F135</f>
        <v>MMM 2020</v>
      </c>
      <c r="EK65" s="46" t="str">
        <f>ZZZ__FnCalls!F136</f>
        <v>MMM 2020</v>
      </c>
      <c r="EL65" s="46" t="str">
        <f>ZZZ__FnCalls!F137</f>
        <v>MMM 2020</v>
      </c>
      <c r="EM65" s="46" t="str">
        <f>ZZZ__FnCalls!F138</f>
        <v>MMM 2020</v>
      </c>
      <c r="EN65" s="47" t="str">
        <f>ZZZ__FnCalls!F127</f>
        <v>MMM 2020</v>
      </c>
    </row>
    <row r="66" spans="1:144" ht="12.75" customHeight="1" x14ac:dyDescent="0.2">
      <c r="A66" s="2" t="str">
        <f>"Capital_1"</f>
        <v>Capital_1</v>
      </c>
    </row>
    <row r="67" spans="1:144" ht="12.75" customHeight="1" x14ac:dyDescent="0.2">
      <c r="B67" s="19" t="str">
        <f>ZZZ__FnCalls!F7</f>
        <v>MMM 2010</v>
      </c>
      <c r="C67" s="20" t="str">
        <f>ZZZ__FnCalls!F8</f>
        <v>MMM 2010</v>
      </c>
      <c r="D67" s="20" t="str">
        <f>ZZZ__FnCalls!F9</f>
        <v>MMM 2010</v>
      </c>
      <c r="E67" s="20" t="str">
        <f>ZZZ__FnCalls!F10</f>
        <v>MMM 2010</v>
      </c>
      <c r="F67" s="20" t="str">
        <f>ZZZ__FnCalls!F11</f>
        <v>MMM 2010</v>
      </c>
      <c r="G67" s="20" t="str">
        <f>ZZZ__FnCalls!F12</f>
        <v>MMM 2010</v>
      </c>
      <c r="H67" s="20" t="str">
        <f>ZZZ__FnCalls!F13</f>
        <v>MMM 2010</v>
      </c>
      <c r="I67" s="20" t="str">
        <f>ZZZ__FnCalls!F14</f>
        <v>MMM 2010</v>
      </c>
      <c r="J67" s="20" t="str">
        <f>ZZZ__FnCalls!F15</f>
        <v>MMM 2010</v>
      </c>
      <c r="K67" s="20" t="str">
        <f>ZZZ__FnCalls!F16</f>
        <v>MMM 2010</v>
      </c>
      <c r="L67" s="20" t="str">
        <f>ZZZ__FnCalls!F17</f>
        <v>MMM 2010</v>
      </c>
      <c r="M67" s="20" t="str">
        <f>ZZZ__FnCalls!F18</f>
        <v>MMM 2010</v>
      </c>
      <c r="N67" s="21" t="str">
        <f>ZZZ__FnCalls!H7</f>
        <v>2010</v>
      </c>
      <c r="O67" s="20" t="str">
        <f>ZZZ__FnCalls!F19</f>
        <v>MMM 2011</v>
      </c>
      <c r="P67" s="20" t="str">
        <f>ZZZ__FnCalls!F20</f>
        <v>MMM 2011</v>
      </c>
      <c r="Q67" s="20" t="str">
        <f>ZZZ__FnCalls!F21</f>
        <v>MMM 2011</v>
      </c>
      <c r="R67" s="20" t="str">
        <f>ZZZ__FnCalls!F22</f>
        <v>MMM 2011</v>
      </c>
      <c r="S67" s="20" t="str">
        <f>ZZZ__FnCalls!F23</f>
        <v>MMM 2011</v>
      </c>
      <c r="T67" s="20" t="str">
        <f>ZZZ__FnCalls!F24</f>
        <v>MMM 2011</v>
      </c>
      <c r="U67" s="20" t="str">
        <f>ZZZ__FnCalls!F25</f>
        <v>MMM 2011</v>
      </c>
      <c r="V67" s="20" t="str">
        <f>ZZZ__FnCalls!F26</f>
        <v>MMM 2011</v>
      </c>
      <c r="W67" s="20" t="str">
        <f>ZZZ__FnCalls!F27</f>
        <v>MMM 2011</v>
      </c>
      <c r="X67" s="20" t="str">
        <f>ZZZ__FnCalls!F28</f>
        <v>MMM 2011</v>
      </c>
      <c r="Y67" s="20" t="str">
        <f>ZZZ__FnCalls!F29</f>
        <v>MMM 2011</v>
      </c>
      <c r="Z67" s="20" t="str">
        <f>ZZZ__FnCalls!F30</f>
        <v>MMM 2011</v>
      </c>
      <c r="AA67" s="21" t="str">
        <f>ZZZ__FnCalls!H19</f>
        <v>2011</v>
      </c>
      <c r="AB67" s="20" t="str">
        <f>ZZZ__FnCalls!F31</f>
        <v>MMM 2012</v>
      </c>
      <c r="AC67" s="20" t="str">
        <f>ZZZ__FnCalls!F32</f>
        <v>MMM 2012</v>
      </c>
      <c r="AD67" s="20" t="str">
        <f>ZZZ__FnCalls!F33</f>
        <v>MMM 2012</v>
      </c>
      <c r="AE67" s="20" t="str">
        <f>ZZZ__FnCalls!F34</f>
        <v>MMM 2012</v>
      </c>
      <c r="AF67" s="20" t="str">
        <f>ZZZ__FnCalls!F35</f>
        <v>MMM 2012</v>
      </c>
      <c r="AG67" s="20" t="str">
        <f>ZZZ__FnCalls!F36</f>
        <v>MMM 2012</v>
      </c>
      <c r="AH67" s="20" t="str">
        <f>ZZZ__FnCalls!F37</f>
        <v>MMM 2012</v>
      </c>
      <c r="AI67" s="20" t="str">
        <f>ZZZ__FnCalls!F38</f>
        <v>MMM 2012</v>
      </c>
      <c r="AJ67" s="20" t="str">
        <f>ZZZ__FnCalls!F39</f>
        <v>MMM 2012</v>
      </c>
      <c r="AK67" s="20" t="str">
        <f>ZZZ__FnCalls!F40</f>
        <v>MMM 2012</v>
      </c>
      <c r="AL67" s="20" t="str">
        <f>ZZZ__FnCalls!F41</f>
        <v>MMM 2012</v>
      </c>
      <c r="AM67" s="20" t="str">
        <f>ZZZ__FnCalls!F42</f>
        <v>MMM 2012</v>
      </c>
      <c r="AN67" s="21" t="str">
        <f>ZZZ__FnCalls!H31</f>
        <v>2012</v>
      </c>
      <c r="AO67" s="20" t="str">
        <f>ZZZ__FnCalls!F43</f>
        <v>MMM 2013</v>
      </c>
      <c r="AP67" s="20" t="str">
        <f>ZZZ__FnCalls!F44</f>
        <v>MMM 2013</v>
      </c>
      <c r="AQ67" s="20" t="str">
        <f>ZZZ__FnCalls!F45</f>
        <v>MMM 2013</v>
      </c>
      <c r="AR67" s="20" t="str">
        <f>ZZZ__FnCalls!F46</f>
        <v>MMM 2013</v>
      </c>
      <c r="AS67" s="20" t="str">
        <f>ZZZ__FnCalls!F47</f>
        <v>MMM 2013</v>
      </c>
      <c r="AT67" s="20" t="str">
        <f>ZZZ__FnCalls!F48</f>
        <v>MMM 2013</v>
      </c>
      <c r="AU67" s="20" t="str">
        <f>ZZZ__FnCalls!F49</f>
        <v>MMM 2013</v>
      </c>
      <c r="AV67" s="20" t="str">
        <f>ZZZ__FnCalls!F50</f>
        <v>MMM 2013</v>
      </c>
      <c r="AW67" s="20" t="str">
        <f>ZZZ__FnCalls!F51</f>
        <v>MMM 2013</v>
      </c>
      <c r="AX67" s="20" t="str">
        <f>ZZZ__FnCalls!F52</f>
        <v>MMM 2013</v>
      </c>
      <c r="AY67" s="20" t="str">
        <f>ZZZ__FnCalls!F53</f>
        <v>MMM 2013</v>
      </c>
      <c r="AZ67" s="20" t="str">
        <f>ZZZ__FnCalls!F54</f>
        <v>MMM 2013</v>
      </c>
      <c r="BA67" s="21" t="str">
        <f>ZZZ__FnCalls!H43</f>
        <v>2013</v>
      </c>
      <c r="BB67" s="20" t="str">
        <f>ZZZ__FnCalls!F55</f>
        <v>MMM 2014</v>
      </c>
      <c r="BC67" s="20" t="str">
        <f>ZZZ__FnCalls!F56</f>
        <v>MMM 2014</v>
      </c>
      <c r="BD67" s="20" t="str">
        <f>ZZZ__FnCalls!F57</f>
        <v>MMM 2014</v>
      </c>
      <c r="BE67" s="20" t="str">
        <f>ZZZ__FnCalls!F58</f>
        <v>MMM 2014</v>
      </c>
      <c r="BF67" s="20" t="str">
        <f>ZZZ__FnCalls!F59</f>
        <v>MMM 2014</v>
      </c>
      <c r="BG67" s="20" t="str">
        <f>ZZZ__FnCalls!F60</f>
        <v>MMM 2014</v>
      </c>
      <c r="BH67" s="20" t="str">
        <f>ZZZ__FnCalls!F61</f>
        <v>MMM 2014</v>
      </c>
      <c r="BI67" s="20" t="str">
        <f>ZZZ__FnCalls!F62</f>
        <v>MMM 2014</v>
      </c>
      <c r="BJ67" s="20" t="str">
        <f>ZZZ__FnCalls!F63</f>
        <v>MMM 2014</v>
      </c>
      <c r="BK67" s="20" t="str">
        <f>ZZZ__FnCalls!F64</f>
        <v>MMM 2014</v>
      </c>
      <c r="BL67" s="20" t="str">
        <f>ZZZ__FnCalls!F65</f>
        <v>MMM 2014</v>
      </c>
      <c r="BM67" s="20" t="str">
        <f>ZZZ__FnCalls!F66</f>
        <v>MMM 2014</v>
      </c>
      <c r="BN67" s="21" t="str">
        <f>ZZZ__FnCalls!H55</f>
        <v>2014</v>
      </c>
      <c r="BO67" s="20" t="str">
        <f>ZZZ__FnCalls!F67</f>
        <v>MMM 2015</v>
      </c>
      <c r="BP67" s="20" t="str">
        <f>ZZZ__FnCalls!F68</f>
        <v>MMM 2015</v>
      </c>
      <c r="BQ67" s="20" t="str">
        <f>ZZZ__FnCalls!F69</f>
        <v>MMM 2015</v>
      </c>
      <c r="BR67" s="20" t="str">
        <f>ZZZ__FnCalls!F70</f>
        <v>MMM 2015</v>
      </c>
      <c r="BS67" s="20" t="str">
        <f>ZZZ__FnCalls!F71</f>
        <v>MMM 2015</v>
      </c>
      <c r="BT67" s="20" t="str">
        <f>ZZZ__FnCalls!F72</f>
        <v>MMM 2015</v>
      </c>
      <c r="BU67" s="20" t="str">
        <f>ZZZ__FnCalls!F73</f>
        <v>MMM 2015</v>
      </c>
      <c r="BV67" s="20" t="str">
        <f>ZZZ__FnCalls!F74</f>
        <v>MMM 2015</v>
      </c>
      <c r="BW67" s="20" t="str">
        <f>ZZZ__FnCalls!F75</f>
        <v>MMM 2015</v>
      </c>
      <c r="BX67" s="20" t="str">
        <f>ZZZ__FnCalls!F76</f>
        <v>MMM 2015</v>
      </c>
      <c r="BY67" s="20" t="str">
        <f>ZZZ__FnCalls!F77</f>
        <v>MMM 2015</v>
      </c>
      <c r="BZ67" s="20" t="str">
        <f>ZZZ__FnCalls!F78</f>
        <v>MMM 2015</v>
      </c>
      <c r="CA67" s="21" t="str">
        <f>ZZZ__FnCalls!H67</f>
        <v>2015</v>
      </c>
      <c r="CB67" s="20" t="str">
        <f>ZZZ__FnCalls!F79</f>
        <v>MMM 2016</v>
      </c>
      <c r="CC67" s="20" t="str">
        <f>ZZZ__FnCalls!F80</f>
        <v>MMM 2016</v>
      </c>
      <c r="CD67" s="20" t="str">
        <f>ZZZ__FnCalls!F81</f>
        <v>MMM 2016</v>
      </c>
      <c r="CE67" s="20" t="str">
        <f>ZZZ__FnCalls!F82</f>
        <v>MMM 2016</v>
      </c>
      <c r="CF67" s="20" t="str">
        <f>ZZZ__FnCalls!F83</f>
        <v>MMM 2016</v>
      </c>
      <c r="CG67" s="20" t="str">
        <f>ZZZ__FnCalls!F84</f>
        <v>MMM 2016</v>
      </c>
      <c r="CH67" s="20" t="str">
        <f>ZZZ__FnCalls!F85</f>
        <v>MMM 2016</v>
      </c>
      <c r="CI67" s="20" t="str">
        <f>ZZZ__FnCalls!F86</f>
        <v>MMM 2016</v>
      </c>
      <c r="CJ67" s="20" t="str">
        <f>ZZZ__FnCalls!F87</f>
        <v>MMM 2016</v>
      </c>
      <c r="CK67" s="20" t="str">
        <f>ZZZ__FnCalls!F88</f>
        <v>MMM 2016</v>
      </c>
      <c r="CL67" s="20" t="str">
        <f>ZZZ__FnCalls!F89</f>
        <v>MMM 2016</v>
      </c>
      <c r="CM67" s="20" t="str">
        <f>ZZZ__FnCalls!F90</f>
        <v>MMM 2016</v>
      </c>
      <c r="CN67" s="21" t="str">
        <f>ZZZ__FnCalls!H79</f>
        <v>2016</v>
      </c>
      <c r="CO67" s="20" t="str">
        <f>ZZZ__FnCalls!F91</f>
        <v>MMM 2017</v>
      </c>
      <c r="CP67" s="20" t="str">
        <f>ZZZ__FnCalls!F92</f>
        <v>MMM 2017</v>
      </c>
      <c r="CQ67" s="20" t="str">
        <f>ZZZ__FnCalls!F93</f>
        <v>MMM 2017</v>
      </c>
      <c r="CR67" s="20" t="str">
        <f>ZZZ__FnCalls!F94</f>
        <v>MMM 2017</v>
      </c>
      <c r="CS67" s="20" t="str">
        <f>ZZZ__FnCalls!F95</f>
        <v>MMM 2017</v>
      </c>
      <c r="CT67" s="20" t="str">
        <f>ZZZ__FnCalls!F96</f>
        <v>MMM 2017</v>
      </c>
      <c r="CU67" s="20" t="str">
        <f>ZZZ__FnCalls!F97</f>
        <v>MMM 2017</v>
      </c>
      <c r="CV67" s="20" t="str">
        <f>ZZZ__FnCalls!F98</f>
        <v>MMM 2017</v>
      </c>
      <c r="CW67" s="20" t="str">
        <f>ZZZ__FnCalls!F99</f>
        <v>MMM 2017</v>
      </c>
      <c r="CX67" s="20" t="str">
        <f>ZZZ__FnCalls!F100</f>
        <v>MMM 2017</v>
      </c>
      <c r="CY67" s="20" t="str">
        <f>ZZZ__FnCalls!F101</f>
        <v>MMM 2017</v>
      </c>
      <c r="CZ67" s="20" t="str">
        <f>ZZZ__FnCalls!F102</f>
        <v>MMM 2017</v>
      </c>
      <c r="DA67" s="21" t="str">
        <f>ZZZ__FnCalls!H91</f>
        <v>2017</v>
      </c>
      <c r="DB67" s="20" t="str">
        <f>ZZZ__FnCalls!F103</f>
        <v>MMM 2018</v>
      </c>
      <c r="DC67" s="20" t="str">
        <f>ZZZ__FnCalls!F104</f>
        <v>MMM 2018</v>
      </c>
      <c r="DD67" s="20" t="str">
        <f>ZZZ__FnCalls!F105</f>
        <v>MMM 2018</v>
      </c>
      <c r="DE67" s="20" t="str">
        <f>ZZZ__FnCalls!F106</f>
        <v>MMM 2018</v>
      </c>
      <c r="DF67" s="20" t="str">
        <f>ZZZ__FnCalls!F107</f>
        <v>MMM 2018</v>
      </c>
      <c r="DG67" s="20" t="str">
        <f>ZZZ__FnCalls!F108</f>
        <v>MMM 2018</v>
      </c>
      <c r="DH67" s="20" t="str">
        <f>ZZZ__FnCalls!F109</f>
        <v>MMM 2018</v>
      </c>
      <c r="DI67" s="20" t="str">
        <f>ZZZ__FnCalls!F110</f>
        <v>MMM 2018</v>
      </c>
      <c r="DJ67" s="20" t="str">
        <f>ZZZ__FnCalls!F111</f>
        <v>MMM 2018</v>
      </c>
      <c r="DK67" s="20" t="str">
        <f>ZZZ__FnCalls!F112</f>
        <v>MMM 2018</v>
      </c>
      <c r="DL67" s="20" t="str">
        <f>ZZZ__FnCalls!F113</f>
        <v>MMM 2018</v>
      </c>
      <c r="DM67" s="20" t="str">
        <f>ZZZ__FnCalls!F114</f>
        <v>MMM 2018</v>
      </c>
      <c r="DN67" s="21" t="str">
        <f>ZZZ__FnCalls!H103</f>
        <v>2018</v>
      </c>
      <c r="DO67" s="20" t="str">
        <f>ZZZ__FnCalls!F115</f>
        <v>MMM 2019</v>
      </c>
      <c r="DP67" s="20" t="str">
        <f>ZZZ__FnCalls!F116</f>
        <v>MMM 2019</v>
      </c>
      <c r="DQ67" s="20" t="str">
        <f>ZZZ__FnCalls!F117</f>
        <v>MMM 2019</v>
      </c>
      <c r="DR67" s="20" t="str">
        <f>ZZZ__FnCalls!F118</f>
        <v>MMM 2019</v>
      </c>
      <c r="DS67" s="20" t="str">
        <f>ZZZ__FnCalls!F119</f>
        <v>MMM 2019</v>
      </c>
      <c r="DT67" s="20" t="str">
        <f>ZZZ__FnCalls!F120</f>
        <v>MMM 2019</v>
      </c>
      <c r="DU67" s="20" t="str">
        <f>ZZZ__FnCalls!F121</f>
        <v>MMM 2019</v>
      </c>
      <c r="DV67" s="20" t="str">
        <f>ZZZ__FnCalls!F122</f>
        <v>MMM 2019</v>
      </c>
      <c r="DW67" s="20" t="str">
        <f>ZZZ__FnCalls!F123</f>
        <v>MMM 2019</v>
      </c>
      <c r="DX67" s="20" t="str">
        <f>ZZZ__FnCalls!F124</f>
        <v>MMM 2019</v>
      </c>
      <c r="DY67" s="20" t="str">
        <f>ZZZ__FnCalls!F125</f>
        <v>MMM 2019</v>
      </c>
      <c r="DZ67" s="20" t="str">
        <f>ZZZ__FnCalls!F126</f>
        <v>MMM 2019</v>
      </c>
      <c r="EA67" s="21" t="str">
        <f>ZZZ__FnCalls!H115</f>
        <v>2019</v>
      </c>
      <c r="EB67" s="20" t="str">
        <f>ZZZ__FnCalls!F127</f>
        <v>MMM 2020</v>
      </c>
      <c r="EC67" s="20" t="str">
        <f>ZZZ__FnCalls!F128</f>
        <v>MMM 2020</v>
      </c>
      <c r="ED67" s="20" t="str">
        <f>ZZZ__FnCalls!F129</f>
        <v>MMM 2020</v>
      </c>
      <c r="EE67" s="20" t="str">
        <f>ZZZ__FnCalls!F130</f>
        <v>MMM 2020</v>
      </c>
      <c r="EF67" s="20" t="str">
        <f>ZZZ__FnCalls!F131</f>
        <v>MMM 2020</v>
      </c>
      <c r="EG67" s="20" t="str">
        <f>ZZZ__FnCalls!F132</f>
        <v>MMM 2020</v>
      </c>
      <c r="EH67" s="20" t="str">
        <f>ZZZ__FnCalls!F133</f>
        <v>MMM 2020</v>
      </c>
      <c r="EI67" s="20" t="str">
        <f>ZZZ__FnCalls!F134</f>
        <v>MMM 2020</v>
      </c>
      <c r="EJ67" s="20" t="str">
        <f>ZZZ__FnCalls!F135</f>
        <v>MMM 2020</v>
      </c>
      <c r="EK67" s="20" t="str">
        <f>ZZZ__FnCalls!F136</f>
        <v>MMM 2020</v>
      </c>
      <c r="EL67" s="20" t="str">
        <f>ZZZ__FnCalls!F137</f>
        <v>MMM 2020</v>
      </c>
      <c r="EM67" s="20" t="str">
        <f>ZZZ__FnCalls!F138</f>
        <v>MMM 2020</v>
      </c>
      <c r="EN67" s="21" t="str">
        <f>ZZZ__FnCalls!H127</f>
        <v>2020</v>
      </c>
    </row>
    <row r="68" spans="1:144" ht="12.75" customHeight="1" x14ac:dyDescent="0.2">
      <c r="A68" s="5"/>
      <c r="B68" s="46">
        <f>ZZZ__FnCalls!A7</f>
        <v>40179</v>
      </c>
      <c r="C68" s="46">
        <f>ZZZ__FnCalls!A8</f>
        <v>40210</v>
      </c>
      <c r="D68" s="46">
        <f>ZZZ__FnCalls!A9</f>
        <v>40238</v>
      </c>
      <c r="E68" s="46">
        <f>ZZZ__FnCalls!A10</f>
        <v>40269</v>
      </c>
      <c r="F68" s="46">
        <f>ZZZ__FnCalls!A11</f>
        <v>40299</v>
      </c>
      <c r="G68" s="46">
        <f>ZZZ__FnCalls!A12</f>
        <v>40330</v>
      </c>
      <c r="H68" s="46">
        <f>ZZZ__FnCalls!A13</f>
        <v>40360</v>
      </c>
      <c r="I68" s="46">
        <f>ZZZ__FnCalls!A14</f>
        <v>40391</v>
      </c>
      <c r="J68" s="46">
        <f>ZZZ__FnCalls!A15</f>
        <v>40422</v>
      </c>
      <c r="K68" s="46">
        <f>ZZZ__FnCalls!A16</f>
        <v>40452</v>
      </c>
      <c r="L68" s="46">
        <f>ZZZ__FnCalls!A17</f>
        <v>40483</v>
      </c>
      <c r="M68" s="46">
        <f>ZZZ__FnCalls!A18</f>
        <v>40513</v>
      </c>
      <c r="N68" s="47">
        <f>ZZZ__FnCalls!A7</f>
        <v>40179</v>
      </c>
      <c r="O68" s="46">
        <f>ZZZ__FnCalls!A19</f>
        <v>40544</v>
      </c>
      <c r="P68" s="46">
        <f>ZZZ__FnCalls!A20</f>
        <v>40575</v>
      </c>
      <c r="Q68" s="46">
        <f>ZZZ__FnCalls!A21</f>
        <v>40603</v>
      </c>
      <c r="R68" s="46">
        <f>ZZZ__FnCalls!A22</f>
        <v>40634</v>
      </c>
      <c r="S68" s="46">
        <f>ZZZ__FnCalls!A23</f>
        <v>40664</v>
      </c>
      <c r="T68" s="46">
        <f>ZZZ__FnCalls!A24</f>
        <v>40695</v>
      </c>
      <c r="U68" s="46">
        <f>ZZZ__FnCalls!A25</f>
        <v>40725</v>
      </c>
      <c r="V68" s="46">
        <f>ZZZ__FnCalls!A26</f>
        <v>40756</v>
      </c>
      <c r="W68" s="46">
        <f>ZZZ__FnCalls!A27</f>
        <v>40787</v>
      </c>
      <c r="X68" s="46">
        <f>ZZZ__FnCalls!A28</f>
        <v>40817</v>
      </c>
      <c r="Y68" s="46">
        <f>ZZZ__FnCalls!A29</f>
        <v>40848</v>
      </c>
      <c r="Z68" s="46">
        <f>ZZZ__FnCalls!A30</f>
        <v>40878</v>
      </c>
      <c r="AA68" s="47">
        <f>ZZZ__FnCalls!A19</f>
        <v>40544</v>
      </c>
      <c r="AB68" s="46">
        <f>ZZZ__FnCalls!A31</f>
        <v>40909</v>
      </c>
      <c r="AC68" s="46">
        <f>ZZZ__FnCalls!A32</f>
        <v>40940</v>
      </c>
      <c r="AD68" s="46">
        <f>ZZZ__FnCalls!A33</f>
        <v>40969</v>
      </c>
      <c r="AE68" s="46">
        <f>ZZZ__FnCalls!A34</f>
        <v>41000</v>
      </c>
      <c r="AF68" s="46">
        <f>ZZZ__FnCalls!A35</f>
        <v>41030</v>
      </c>
      <c r="AG68" s="46">
        <f>ZZZ__FnCalls!A36</f>
        <v>41061</v>
      </c>
      <c r="AH68" s="46">
        <f>ZZZ__FnCalls!A37</f>
        <v>41091</v>
      </c>
      <c r="AI68" s="46">
        <f>ZZZ__FnCalls!A38</f>
        <v>41122</v>
      </c>
      <c r="AJ68" s="46">
        <f>ZZZ__FnCalls!A39</f>
        <v>41153</v>
      </c>
      <c r="AK68" s="46">
        <f>ZZZ__FnCalls!A40</f>
        <v>41183</v>
      </c>
      <c r="AL68" s="46">
        <f>ZZZ__FnCalls!A41</f>
        <v>41214</v>
      </c>
      <c r="AM68" s="46">
        <f>ZZZ__FnCalls!A42</f>
        <v>41244</v>
      </c>
      <c r="AN68" s="47">
        <f>ZZZ__FnCalls!A31</f>
        <v>40909</v>
      </c>
      <c r="AO68" s="46">
        <f>ZZZ__FnCalls!A43</f>
        <v>41275</v>
      </c>
      <c r="AP68" s="46">
        <f>ZZZ__FnCalls!A44</f>
        <v>41306</v>
      </c>
      <c r="AQ68" s="46">
        <f>ZZZ__FnCalls!A45</f>
        <v>41334</v>
      </c>
      <c r="AR68" s="46">
        <f>ZZZ__FnCalls!A46</f>
        <v>41365</v>
      </c>
      <c r="AS68" s="46">
        <f>ZZZ__FnCalls!A47</f>
        <v>41395</v>
      </c>
      <c r="AT68" s="46">
        <f>ZZZ__FnCalls!A48</f>
        <v>41426</v>
      </c>
      <c r="AU68" s="46">
        <f>ZZZ__FnCalls!A49</f>
        <v>41456</v>
      </c>
      <c r="AV68" s="46">
        <f>ZZZ__FnCalls!A50</f>
        <v>41487</v>
      </c>
      <c r="AW68" s="46">
        <f>ZZZ__FnCalls!A51</f>
        <v>41518</v>
      </c>
      <c r="AX68" s="46">
        <f>ZZZ__FnCalls!A52</f>
        <v>41548</v>
      </c>
      <c r="AY68" s="46">
        <f>ZZZ__FnCalls!A53</f>
        <v>41579</v>
      </c>
      <c r="AZ68" s="46">
        <f>ZZZ__FnCalls!A54</f>
        <v>41609</v>
      </c>
      <c r="BA68" s="47">
        <f>ZZZ__FnCalls!A43</f>
        <v>41275</v>
      </c>
      <c r="BB68" s="46">
        <f>ZZZ__FnCalls!A55</f>
        <v>41640</v>
      </c>
      <c r="BC68" s="46">
        <f>ZZZ__FnCalls!A56</f>
        <v>41671</v>
      </c>
      <c r="BD68" s="46">
        <f>ZZZ__FnCalls!A57</f>
        <v>41699</v>
      </c>
      <c r="BE68" s="46">
        <f>ZZZ__FnCalls!A58</f>
        <v>41730</v>
      </c>
      <c r="BF68" s="46">
        <f>ZZZ__FnCalls!A59</f>
        <v>41760</v>
      </c>
      <c r="BG68" s="46">
        <f>ZZZ__FnCalls!A60</f>
        <v>41791</v>
      </c>
      <c r="BH68" s="46">
        <f>ZZZ__FnCalls!A61</f>
        <v>41821</v>
      </c>
      <c r="BI68" s="46">
        <f>ZZZ__FnCalls!A62</f>
        <v>41852</v>
      </c>
      <c r="BJ68" s="46">
        <f>ZZZ__FnCalls!A63</f>
        <v>41883</v>
      </c>
      <c r="BK68" s="46">
        <f>ZZZ__FnCalls!A64</f>
        <v>41913</v>
      </c>
      <c r="BL68" s="46">
        <f>ZZZ__FnCalls!A65</f>
        <v>41944</v>
      </c>
      <c r="BM68" s="46">
        <f>ZZZ__FnCalls!A66</f>
        <v>41974</v>
      </c>
      <c r="BN68" s="47">
        <f>ZZZ__FnCalls!A55</f>
        <v>41640</v>
      </c>
      <c r="BO68" s="46">
        <f>ZZZ__FnCalls!A67</f>
        <v>42005</v>
      </c>
      <c r="BP68" s="46">
        <f>ZZZ__FnCalls!A68</f>
        <v>42036</v>
      </c>
      <c r="BQ68" s="46">
        <f>ZZZ__FnCalls!A69</f>
        <v>42064</v>
      </c>
      <c r="BR68" s="46">
        <f>ZZZ__FnCalls!A70</f>
        <v>42095</v>
      </c>
      <c r="BS68" s="46">
        <f>ZZZ__FnCalls!A71</f>
        <v>42125</v>
      </c>
      <c r="BT68" s="46">
        <f>ZZZ__FnCalls!A72</f>
        <v>42156</v>
      </c>
      <c r="BU68" s="46">
        <f>ZZZ__FnCalls!A73</f>
        <v>42186</v>
      </c>
      <c r="BV68" s="46">
        <f>ZZZ__FnCalls!A74</f>
        <v>42217</v>
      </c>
      <c r="BW68" s="46">
        <f>ZZZ__FnCalls!A75</f>
        <v>42248</v>
      </c>
      <c r="BX68" s="46">
        <f>ZZZ__FnCalls!A76</f>
        <v>42278</v>
      </c>
      <c r="BY68" s="46">
        <f>ZZZ__FnCalls!A77</f>
        <v>42309</v>
      </c>
      <c r="BZ68" s="46">
        <f>ZZZ__FnCalls!A78</f>
        <v>42339</v>
      </c>
      <c r="CA68" s="47">
        <f>ZZZ__FnCalls!A67</f>
        <v>42005</v>
      </c>
      <c r="CB68" s="46">
        <f>ZZZ__FnCalls!A79</f>
        <v>42370</v>
      </c>
      <c r="CC68" s="46">
        <f>ZZZ__FnCalls!A80</f>
        <v>42401</v>
      </c>
      <c r="CD68" s="46">
        <f>ZZZ__FnCalls!A81</f>
        <v>42430</v>
      </c>
      <c r="CE68" s="46">
        <f>ZZZ__FnCalls!A82</f>
        <v>42461</v>
      </c>
      <c r="CF68" s="46">
        <f>ZZZ__FnCalls!A83</f>
        <v>42491</v>
      </c>
      <c r="CG68" s="46">
        <f>ZZZ__FnCalls!A84</f>
        <v>42522</v>
      </c>
      <c r="CH68" s="46">
        <f>ZZZ__FnCalls!A85</f>
        <v>42552</v>
      </c>
      <c r="CI68" s="46">
        <f>ZZZ__FnCalls!A86</f>
        <v>42583</v>
      </c>
      <c r="CJ68" s="46">
        <f>ZZZ__FnCalls!A87</f>
        <v>42614</v>
      </c>
      <c r="CK68" s="46">
        <f>ZZZ__FnCalls!A88</f>
        <v>42644</v>
      </c>
      <c r="CL68" s="46">
        <f>ZZZ__FnCalls!A89</f>
        <v>42675</v>
      </c>
      <c r="CM68" s="46">
        <f>ZZZ__FnCalls!A90</f>
        <v>42705</v>
      </c>
      <c r="CN68" s="47">
        <f>ZZZ__FnCalls!A79</f>
        <v>42370</v>
      </c>
      <c r="CO68" s="46">
        <f>ZZZ__FnCalls!A91</f>
        <v>42736</v>
      </c>
      <c r="CP68" s="46">
        <f>ZZZ__FnCalls!A92</f>
        <v>42767</v>
      </c>
      <c r="CQ68" s="46">
        <f>ZZZ__FnCalls!A93</f>
        <v>42795</v>
      </c>
      <c r="CR68" s="46">
        <f>ZZZ__FnCalls!A94</f>
        <v>42826</v>
      </c>
      <c r="CS68" s="46">
        <f>ZZZ__FnCalls!A95</f>
        <v>42856</v>
      </c>
      <c r="CT68" s="46">
        <f>ZZZ__FnCalls!A96</f>
        <v>42887</v>
      </c>
      <c r="CU68" s="46">
        <f>ZZZ__FnCalls!A97</f>
        <v>42917</v>
      </c>
      <c r="CV68" s="46">
        <f>ZZZ__FnCalls!A98</f>
        <v>42948</v>
      </c>
      <c r="CW68" s="46">
        <f>ZZZ__FnCalls!A99</f>
        <v>42979</v>
      </c>
      <c r="CX68" s="46">
        <f>ZZZ__FnCalls!A100</f>
        <v>43009</v>
      </c>
      <c r="CY68" s="46">
        <f>ZZZ__FnCalls!A101</f>
        <v>43040</v>
      </c>
      <c r="CZ68" s="46">
        <f>ZZZ__FnCalls!A102</f>
        <v>43070</v>
      </c>
      <c r="DA68" s="47">
        <f>ZZZ__FnCalls!A91</f>
        <v>42736</v>
      </c>
      <c r="DB68" s="46">
        <f>ZZZ__FnCalls!A103</f>
        <v>43101</v>
      </c>
      <c r="DC68" s="46">
        <f>ZZZ__FnCalls!A104</f>
        <v>43132</v>
      </c>
      <c r="DD68" s="46">
        <f>ZZZ__FnCalls!A105</f>
        <v>43160</v>
      </c>
      <c r="DE68" s="46">
        <f>ZZZ__FnCalls!A106</f>
        <v>43191</v>
      </c>
      <c r="DF68" s="46">
        <f>ZZZ__FnCalls!A107</f>
        <v>43221</v>
      </c>
      <c r="DG68" s="46">
        <f>ZZZ__FnCalls!A108</f>
        <v>43252</v>
      </c>
      <c r="DH68" s="46">
        <f>ZZZ__FnCalls!A109</f>
        <v>43282</v>
      </c>
      <c r="DI68" s="46">
        <f>ZZZ__FnCalls!A110</f>
        <v>43313</v>
      </c>
      <c r="DJ68" s="46">
        <f>ZZZ__FnCalls!A111</f>
        <v>43344</v>
      </c>
      <c r="DK68" s="46">
        <f>ZZZ__FnCalls!A112</f>
        <v>43374</v>
      </c>
      <c r="DL68" s="46">
        <f>ZZZ__FnCalls!A113</f>
        <v>43405</v>
      </c>
      <c r="DM68" s="46">
        <f>ZZZ__FnCalls!A114</f>
        <v>43435</v>
      </c>
      <c r="DN68" s="47">
        <f>ZZZ__FnCalls!A103</f>
        <v>43101</v>
      </c>
      <c r="DO68" s="46">
        <f>ZZZ__FnCalls!A115</f>
        <v>43466</v>
      </c>
      <c r="DP68" s="46">
        <f>ZZZ__FnCalls!A116</f>
        <v>43497</v>
      </c>
      <c r="DQ68" s="46">
        <f>ZZZ__FnCalls!A117</f>
        <v>43525</v>
      </c>
      <c r="DR68" s="46">
        <f>ZZZ__FnCalls!A118</f>
        <v>43556</v>
      </c>
      <c r="DS68" s="46">
        <f>ZZZ__FnCalls!A119</f>
        <v>43586</v>
      </c>
      <c r="DT68" s="46">
        <f>ZZZ__FnCalls!A120</f>
        <v>43617</v>
      </c>
      <c r="DU68" s="46">
        <f>ZZZ__FnCalls!A121</f>
        <v>43647</v>
      </c>
      <c r="DV68" s="46">
        <f>ZZZ__FnCalls!A122</f>
        <v>43678</v>
      </c>
      <c r="DW68" s="46">
        <f>ZZZ__FnCalls!A123</f>
        <v>43709</v>
      </c>
      <c r="DX68" s="46">
        <f>ZZZ__FnCalls!A124</f>
        <v>43739</v>
      </c>
      <c r="DY68" s="46">
        <f>ZZZ__FnCalls!A125</f>
        <v>43770</v>
      </c>
      <c r="DZ68" s="46">
        <f>ZZZ__FnCalls!A126</f>
        <v>43800</v>
      </c>
      <c r="EA68" s="47">
        <f>ZZZ__FnCalls!A115</f>
        <v>43466</v>
      </c>
      <c r="EB68" s="46">
        <f>ZZZ__FnCalls!A127</f>
        <v>43831</v>
      </c>
      <c r="EC68" s="46">
        <f>ZZZ__FnCalls!A128</f>
        <v>43862</v>
      </c>
      <c r="ED68" s="46">
        <f>ZZZ__FnCalls!A129</f>
        <v>43891</v>
      </c>
      <c r="EE68" s="46">
        <f>ZZZ__FnCalls!A130</f>
        <v>43922</v>
      </c>
      <c r="EF68" s="46">
        <f>ZZZ__FnCalls!A131</f>
        <v>43952</v>
      </c>
      <c r="EG68" s="46">
        <f>ZZZ__FnCalls!A132</f>
        <v>43983</v>
      </c>
      <c r="EH68" s="46">
        <f>ZZZ__FnCalls!A133</f>
        <v>44013</v>
      </c>
      <c r="EI68" s="46">
        <f>ZZZ__FnCalls!A134</f>
        <v>44044</v>
      </c>
      <c r="EJ68" s="46">
        <f>ZZZ__FnCalls!A135</f>
        <v>44075</v>
      </c>
      <c r="EK68" s="46">
        <f>ZZZ__FnCalls!A136</f>
        <v>44105</v>
      </c>
      <c r="EL68" s="46">
        <f>ZZZ__FnCalls!A137</f>
        <v>44136</v>
      </c>
      <c r="EM68" s="46">
        <f>ZZZ__FnCalls!A138</f>
        <v>44166</v>
      </c>
      <c r="EN68" s="47">
        <f>ZZZ__FnCalls!A127</f>
        <v>43831</v>
      </c>
    </row>
    <row r="69" spans="1:144" ht="12.75" customHeight="1" x14ac:dyDescent="0.2">
      <c r="A69" s="2" t="str">
        <f>"Capital_2"</f>
        <v>Capital_2</v>
      </c>
    </row>
    <row r="70" spans="1:144" ht="12.75" customHeight="1" x14ac:dyDescent="0.2">
      <c r="B70" s="19" t="str">
        <f>ZZZ__FnCalls!F7</f>
        <v>MMM 2010</v>
      </c>
      <c r="C70" s="20" t="str">
        <f>ZZZ__FnCalls!F8</f>
        <v>MMM 2010</v>
      </c>
      <c r="D70" s="20" t="str">
        <f>ZZZ__FnCalls!F9</f>
        <v>MMM 2010</v>
      </c>
      <c r="E70" s="20" t="str">
        <f>ZZZ__FnCalls!F10</f>
        <v>MMM 2010</v>
      </c>
      <c r="F70" s="20" t="str">
        <f>ZZZ__FnCalls!F11</f>
        <v>MMM 2010</v>
      </c>
      <c r="G70" s="20" t="str">
        <f>ZZZ__FnCalls!F12</f>
        <v>MMM 2010</v>
      </c>
      <c r="H70" s="20" t="str">
        <f>ZZZ__FnCalls!F13</f>
        <v>MMM 2010</v>
      </c>
      <c r="I70" s="20" t="str">
        <f>ZZZ__FnCalls!F14</f>
        <v>MMM 2010</v>
      </c>
      <c r="J70" s="20" t="str">
        <f>ZZZ__FnCalls!F15</f>
        <v>MMM 2010</v>
      </c>
      <c r="K70" s="20" t="str">
        <f>ZZZ__FnCalls!F16</f>
        <v>MMM 2010</v>
      </c>
      <c r="L70" s="20" t="str">
        <f>ZZZ__FnCalls!F17</f>
        <v>MMM 2010</v>
      </c>
      <c r="M70" s="20" t="str">
        <f>ZZZ__FnCalls!F18</f>
        <v>MMM 2010</v>
      </c>
      <c r="N70" s="21" t="str">
        <f>ZZZ__FnCalls!H7</f>
        <v>2010</v>
      </c>
      <c r="O70" s="20" t="str">
        <f>ZZZ__FnCalls!F19</f>
        <v>MMM 2011</v>
      </c>
      <c r="P70" s="20" t="str">
        <f>ZZZ__FnCalls!F20</f>
        <v>MMM 2011</v>
      </c>
      <c r="Q70" s="20" t="str">
        <f>ZZZ__FnCalls!F21</f>
        <v>MMM 2011</v>
      </c>
      <c r="R70" s="20" t="str">
        <f>ZZZ__FnCalls!F22</f>
        <v>MMM 2011</v>
      </c>
      <c r="S70" s="20" t="str">
        <f>ZZZ__FnCalls!F23</f>
        <v>MMM 2011</v>
      </c>
      <c r="T70" s="20" t="str">
        <f>ZZZ__FnCalls!F24</f>
        <v>MMM 2011</v>
      </c>
      <c r="U70" s="20" t="str">
        <f>ZZZ__FnCalls!F25</f>
        <v>MMM 2011</v>
      </c>
      <c r="V70" s="20" t="str">
        <f>ZZZ__FnCalls!F26</f>
        <v>MMM 2011</v>
      </c>
      <c r="W70" s="20" t="str">
        <f>ZZZ__FnCalls!F27</f>
        <v>MMM 2011</v>
      </c>
      <c r="X70" s="20" t="str">
        <f>ZZZ__FnCalls!F28</f>
        <v>MMM 2011</v>
      </c>
      <c r="Y70" s="20" t="str">
        <f>ZZZ__FnCalls!F29</f>
        <v>MMM 2011</v>
      </c>
      <c r="Z70" s="20" t="str">
        <f>ZZZ__FnCalls!F30</f>
        <v>MMM 2011</v>
      </c>
      <c r="AA70" s="21" t="str">
        <f>ZZZ__FnCalls!H19</f>
        <v>2011</v>
      </c>
      <c r="AB70" s="20" t="str">
        <f>ZZZ__FnCalls!F31</f>
        <v>MMM 2012</v>
      </c>
      <c r="AC70" s="20" t="str">
        <f>ZZZ__FnCalls!F32</f>
        <v>MMM 2012</v>
      </c>
      <c r="AD70" s="20" t="str">
        <f>ZZZ__FnCalls!F33</f>
        <v>MMM 2012</v>
      </c>
      <c r="AE70" s="20" t="str">
        <f>ZZZ__FnCalls!F34</f>
        <v>MMM 2012</v>
      </c>
      <c r="AF70" s="20" t="str">
        <f>ZZZ__FnCalls!F35</f>
        <v>MMM 2012</v>
      </c>
      <c r="AG70" s="20" t="str">
        <f>ZZZ__FnCalls!F36</f>
        <v>MMM 2012</v>
      </c>
      <c r="AH70" s="20" t="str">
        <f>ZZZ__FnCalls!F37</f>
        <v>MMM 2012</v>
      </c>
      <c r="AI70" s="20" t="str">
        <f>ZZZ__FnCalls!F38</f>
        <v>MMM 2012</v>
      </c>
      <c r="AJ70" s="20" t="str">
        <f>ZZZ__FnCalls!F39</f>
        <v>MMM 2012</v>
      </c>
      <c r="AK70" s="20" t="str">
        <f>ZZZ__FnCalls!F40</f>
        <v>MMM 2012</v>
      </c>
      <c r="AL70" s="20" t="str">
        <f>ZZZ__FnCalls!F41</f>
        <v>MMM 2012</v>
      </c>
      <c r="AM70" s="20" t="str">
        <f>ZZZ__FnCalls!F42</f>
        <v>MMM 2012</v>
      </c>
      <c r="AN70" s="21" t="str">
        <f>ZZZ__FnCalls!H31</f>
        <v>2012</v>
      </c>
      <c r="AO70" s="20" t="str">
        <f>ZZZ__FnCalls!F43</f>
        <v>MMM 2013</v>
      </c>
      <c r="AP70" s="20" t="str">
        <f>ZZZ__FnCalls!F44</f>
        <v>MMM 2013</v>
      </c>
      <c r="AQ70" s="20" t="str">
        <f>ZZZ__FnCalls!F45</f>
        <v>MMM 2013</v>
      </c>
      <c r="AR70" s="20" t="str">
        <f>ZZZ__FnCalls!F46</f>
        <v>MMM 2013</v>
      </c>
      <c r="AS70" s="20" t="str">
        <f>ZZZ__FnCalls!F47</f>
        <v>MMM 2013</v>
      </c>
      <c r="AT70" s="20" t="str">
        <f>ZZZ__FnCalls!F48</f>
        <v>MMM 2013</v>
      </c>
      <c r="AU70" s="20" t="str">
        <f>ZZZ__FnCalls!F49</f>
        <v>MMM 2013</v>
      </c>
      <c r="AV70" s="20" t="str">
        <f>ZZZ__FnCalls!F50</f>
        <v>MMM 2013</v>
      </c>
      <c r="AW70" s="20" t="str">
        <f>ZZZ__FnCalls!F51</f>
        <v>MMM 2013</v>
      </c>
      <c r="AX70" s="20" t="str">
        <f>ZZZ__FnCalls!F52</f>
        <v>MMM 2013</v>
      </c>
      <c r="AY70" s="20" t="str">
        <f>ZZZ__FnCalls!F53</f>
        <v>MMM 2013</v>
      </c>
      <c r="AZ70" s="20" t="str">
        <f>ZZZ__FnCalls!F54</f>
        <v>MMM 2013</v>
      </c>
      <c r="BA70" s="21" t="str">
        <f>ZZZ__FnCalls!H43</f>
        <v>2013</v>
      </c>
      <c r="BB70" s="20" t="str">
        <f>ZZZ__FnCalls!F55</f>
        <v>MMM 2014</v>
      </c>
      <c r="BC70" s="20" t="str">
        <f>ZZZ__FnCalls!F56</f>
        <v>MMM 2014</v>
      </c>
      <c r="BD70" s="20" t="str">
        <f>ZZZ__FnCalls!F57</f>
        <v>MMM 2014</v>
      </c>
      <c r="BE70" s="20" t="str">
        <f>ZZZ__FnCalls!F58</f>
        <v>MMM 2014</v>
      </c>
      <c r="BF70" s="20" t="str">
        <f>ZZZ__FnCalls!F59</f>
        <v>MMM 2014</v>
      </c>
      <c r="BG70" s="20" t="str">
        <f>ZZZ__FnCalls!F60</f>
        <v>MMM 2014</v>
      </c>
      <c r="BH70" s="20" t="str">
        <f>ZZZ__FnCalls!F61</f>
        <v>MMM 2014</v>
      </c>
      <c r="BI70" s="20" t="str">
        <f>ZZZ__FnCalls!F62</f>
        <v>MMM 2014</v>
      </c>
      <c r="BJ70" s="20" t="str">
        <f>ZZZ__FnCalls!F63</f>
        <v>MMM 2014</v>
      </c>
      <c r="BK70" s="20" t="str">
        <f>ZZZ__FnCalls!F64</f>
        <v>MMM 2014</v>
      </c>
      <c r="BL70" s="20" t="str">
        <f>ZZZ__FnCalls!F65</f>
        <v>MMM 2014</v>
      </c>
      <c r="BM70" s="20" t="str">
        <f>ZZZ__FnCalls!F66</f>
        <v>MMM 2014</v>
      </c>
      <c r="BN70" s="21" t="str">
        <f>ZZZ__FnCalls!H55</f>
        <v>2014</v>
      </c>
      <c r="BO70" s="20" t="str">
        <f>ZZZ__FnCalls!F67</f>
        <v>MMM 2015</v>
      </c>
      <c r="BP70" s="20" t="str">
        <f>ZZZ__FnCalls!F68</f>
        <v>MMM 2015</v>
      </c>
      <c r="BQ70" s="20" t="str">
        <f>ZZZ__FnCalls!F69</f>
        <v>MMM 2015</v>
      </c>
      <c r="BR70" s="20" t="str">
        <f>ZZZ__FnCalls!F70</f>
        <v>MMM 2015</v>
      </c>
      <c r="BS70" s="20" t="str">
        <f>ZZZ__FnCalls!F71</f>
        <v>MMM 2015</v>
      </c>
      <c r="BT70" s="20" t="str">
        <f>ZZZ__FnCalls!F72</f>
        <v>MMM 2015</v>
      </c>
      <c r="BU70" s="20" t="str">
        <f>ZZZ__FnCalls!F73</f>
        <v>MMM 2015</v>
      </c>
      <c r="BV70" s="20" t="str">
        <f>ZZZ__FnCalls!F74</f>
        <v>MMM 2015</v>
      </c>
      <c r="BW70" s="20" t="str">
        <f>ZZZ__FnCalls!F75</f>
        <v>MMM 2015</v>
      </c>
      <c r="BX70" s="20" t="str">
        <f>ZZZ__FnCalls!F76</f>
        <v>MMM 2015</v>
      </c>
      <c r="BY70" s="20" t="str">
        <f>ZZZ__FnCalls!F77</f>
        <v>MMM 2015</v>
      </c>
      <c r="BZ70" s="20" t="str">
        <f>ZZZ__FnCalls!F78</f>
        <v>MMM 2015</v>
      </c>
      <c r="CA70" s="21" t="str">
        <f>ZZZ__FnCalls!H67</f>
        <v>2015</v>
      </c>
      <c r="CB70" s="20" t="str">
        <f>ZZZ__FnCalls!F79</f>
        <v>MMM 2016</v>
      </c>
      <c r="CC70" s="20" t="str">
        <f>ZZZ__FnCalls!F80</f>
        <v>MMM 2016</v>
      </c>
      <c r="CD70" s="20" t="str">
        <f>ZZZ__FnCalls!F81</f>
        <v>MMM 2016</v>
      </c>
      <c r="CE70" s="20" t="str">
        <f>ZZZ__FnCalls!F82</f>
        <v>MMM 2016</v>
      </c>
      <c r="CF70" s="20" t="str">
        <f>ZZZ__FnCalls!F83</f>
        <v>MMM 2016</v>
      </c>
      <c r="CG70" s="20" t="str">
        <f>ZZZ__FnCalls!F84</f>
        <v>MMM 2016</v>
      </c>
      <c r="CH70" s="20" t="str">
        <f>ZZZ__FnCalls!F85</f>
        <v>MMM 2016</v>
      </c>
      <c r="CI70" s="20" t="str">
        <f>ZZZ__FnCalls!F86</f>
        <v>MMM 2016</v>
      </c>
      <c r="CJ70" s="20" t="str">
        <f>ZZZ__FnCalls!F87</f>
        <v>MMM 2016</v>
      </c>
      <c r="CK70" s="20" t="str">
        <f>ZZZ__FnCalls!F88</f>
        <v>MMM 2016</v>
      </c>
      <c r="CL70" s="20" t="str">
        <f>ZZZ__FnCalls!F89</f>
        <v>MMM 2016</v>
      </c>
      <c r="CM70" s="20" t="str">
        <f>ZZZ__FnCalls!F90</f>
        <v>MMM 2016</v>
      </c>
      <c r="CN70" s="21" t="str">
        <f>ZZZ__FnCalls!H79</f>
        <v>2016</v>
      </c>
      <c r="CO70" s="20" t="str">
        <f>ZZZ__FnCalls!F91</f>
        <v>MMM 2017</v>
      </c>
      <c r="CP70" s="20" t="str">
        <f>ZZZ__FnCalls!F92</f>
        <v>MMM 2017</v>
      </c>
      <c r="CQ70" s="20" t="str">
        <f>ZZZ__FnCalls!F93</f>
        <v>MMM 2017</v>
      </c>
      <c r="CR70" s="20" t="str">
        <f>ZZZ__FnCalls!F94</f>
        <v>MMM 2017</v>
      </c>
      <c r="CS70" s="20" t="str">
        <f>ZZZ__FnCalls!F95</f>
        <v>MMM 2017</v>
      </c>
      <c r="CT70" s="20" t="str">
        <f>ZZZ__FnCalls!F96</f>
        <v>MMM 2017</v>
      </c>
      <c r="CU70" s="20" t="str">
        <f>ZZZ__FnCalls!F97</f>
        <v>MMM 2017</v>
      </c>
      <c r="CV70" s="20" t="str">
        <f>ZZZ__FnCalls!F98</f>
        <v>MMM 2017</v>
      </c>
      <c r="CW70" s="20" t="str">
        <f>ZZZ__FnCalls!F99</f>
        <v>MMM 2017</v>
      </c>
      <c r="CX70" s="20" t="str">
        <f>ZZZ__FnCalls!F100</f>
        <v>MMM 2017</v>
      </c>
      <c r="CY70" s="20" t="str">
        <f>ZZZ__FnCalls!F101</f>
        <v>MMM 2017</v>
      </c>
      <c r="CZ70" s="20" t="str">
        <f>ZZZ__FnCalls!F102</f>
        <v>MMM 2017</v>
      </c>
      <c r="DA70" s="21" t="str">
        <f>ZZZ__FnCalls!H91</f>
        <v>2017</v>
      </c>
      <c r="DB70" s="20" t="str">
        <f>ZZZ__FnCalls!F103</f>
        <v>MMM 2018</v>
      </c>
      <c r="DC70" s="20" t="str">
        <f>ZZZ__FnCalls!F104</f>
        <v>MMM 2018</v>
      </c>
      <c r="DD70" s="20" t="str">
        <f>ZZZ__FnCalls!F105</f>
        <v>MMM 2018</v>
      </c>
      <c r="DE70" s="20" t="str">
        <f>ZZZ__FnCalls!F106</f>
        <v>MMM 2018</v>
      </c>
      <c r="DF70" s="20" t="str">
        <f>ZZZ__FnCalls!F107</f>
        <v>MMM 2018</v>
      </c>
      <c r="DG70" s="20" t="str">
        <f>ZZZ__FnCalls!F108</f>
        <v>MMM 2018</v>
      </c>
      <c r="DH70" s="20" t="str">
        <f>ZZZ__FnCalls!F109</f>
        <v>MMM 2018</v>
      </c>
      <c r="DI70" s="20" t="str">
        <f>ZZZ__FnCalls!F110</f>
        <v>MMM 2018</v>
      </c>
      <c r="DJ70" s="20" t="str">
        <f>ZZZ__FnCalls!F111</f>
        <v>MMM 2018</v>
      </c>
      <c r="DK70" s="20" t="str">
        <f>ZZZ__FnCalls!F112</f>
        <v>MMM 2018</v>
      </c>
      <c r="DL70" s="20" t="str">
        <f>ZZZ__FnCalls!F113</f>
        <v>MMM 2018</v>
      </c>
      <c r="DM70" s="20" t="str">
        <f>ZZZ__FnCalls!F114</f>
        <v>MMM 2018</v>
      </c>
      <c r="DN70" s="21" t="str">
        <f>ZZZ__FnCalls!H103</f>
        <v>2018</v>
      </c>
      <c r="DO70" s="20" t="str">
        <f>ZZZ__FnCalls!F115</f>
        <v>MMM 2019</v>
      </c>
      <c r="DP70" s="20" t="str">
        <f>ZZZ__FnCalls!F116</f>
        <v>MMM 2019</v>
      </c>
      <c r="DQ70" s="20" t="str">
        <f>ZZZ__FnCalls!F117</f>
        <v>MMM 2019</v>
      </c>
      <c r="DR70" s="20" t="str">
        <f>ZZZ__FnCalls!F118</f>
        <v>MMM 2019</v>
      </c>
      <c r="DS70" s="20" t="str">
        <f>ZZZ__FnCalls!F119</f>
        <v>MMM 2019</v>
      </c>
      <c r="DT70" s="20" t="str">
        <f>ZZZ__FnCalls!F120</f>
        <v>MMM 2019</v>
      </c>
      <c r="DU70" s="20" t="str">
        <f>ZZZ__FnCalls!F121</f>
        <v>MMM 2019</v>
      </c>
      <c r="DV70" s="20" t="str">
        <f>ZZZ__FnCalls!F122</f>
        <v>MMM 2019</v>
      </c>
      <c r="DW70" s="20" t="str">
        <f>ZZZ__FnCalls!F123</f>
        <v>MMM 2019</v>
      </c>
      <c r="DX70" s="20" t="str">
        <f>ZZZ__FnCalls!F124</f>
        <v>MMM 2019</v>
      </c>
      <c r="DY70" s="20" t="str">
        <f>ZZZ__FnCalls!F125</f>
        <v>MMM 2019</v>
      </c>
      <c r="DZ70" s="20" t="str">
        <f>ZZZ__FnCalls!F126</f>
        <v>MMM 2019</v>
      </c>
      <c r="EA70" s="21" t="str">
        <f>ZZZ__FnCalls!H115</f>
        <v>2019</v>
      </c>
      <c r="EB70" s="20" t="str">
        <f>ZZZ__FnCalls!F127</f>
        <v>MMM 2020</v>
      </c>
      <c r="EC70" s="20" t="str">
        <f>ZZZ__FnCalls!F128</f>
        <v>MMM 2020</v>
      </c>
      <c r="ED70" s="20" t="str">
        <f>ZZZ__FnCalls!F129</f>
        <v>MMM 2020</v>
      </c>
      <c r="EE70" s="20" t="str">
        <f>ZZZ__FnCalls!F130</f>
        <v>MMM 2020</v>
      </c>
      <c r="EF70" s="20" t="str">
        <f>ZZZ__FnCalls!F131</f>
        <v>MMM 2020</v>
      </c>
      <c r="EG70" s="20" t="str">
        <f>ZZZ__FnCalls!F132</f>
        <v>MMM 2020</v>
      </c>
      <c r="EH70" s="20" t="str">
        <f>ZZZ__FnCalls!F133</f>
        <v>MMM 2020</v>
      </c>
      <c r="EI70" s="20" t="str">
        <f>ZZZ__FnCalls!F134</f>
        <v>MMM 2020</v>
      </c>
      <c r="EJ70" s="20" t="str">
        <f>ZZZ__FnCalls!F135</f>
        <v>MMM 2020</v>
      </c>
      <c r="EK70" s="20" t="str">
        <f>ZZZ__FnCalls!F136</f>
        <v>MMM 2020</v>
      </c>
      <c r="EL70" s="20" t="str">
        <f>ZZZ__FnCalls!F137</f>
        <v>MMM 2020</v>
      </c>
      <c r="EM70" s="20" t="str">
        <f>ZZZ__FnCalls!F138</f>
        <v>MMM 2020</v>
      </c>
      <c r="EN70" s="21" t="str">
        <f>ZZZ__FnCalls!H127</f>
        <v>2020</v>
      </c>
    </row>
    <row r="71" spans="1:144" ht="12.75" customHeight="1" x14ac:dyDescent="0.2">
      <c r="A71" s="5"/>
      <c r="B71" s="46" t="str">
        <f>ZZZ__FnCalls!F7</f>
        <v>MMM 2010</v>
      </c>
      <c r="C71" s="46" t="str">
        <f>ZZZ__FnCalls!F8</f>
        <v>MMM 2010</v>
      </c>
      <c r="D71" s="46" t="str">
        <f>ZZZ__FnCalls!F9</f>
        <v>MMM 2010</v>
      </c>
      <c r="E71" s="46" t="str">
        <f>ZZZ__FnCalls!F10</f>
        <v>MMM 2010</v>
      </c>
      <c r="F71" s="46" t="str">
        <f>ZZZ__FnCalls!F11</f>
        <v>MMM 2010</v>
      </c>
      <c r="G71" s="46" t="str">
        <f>ZZZ__FnCalls!F12</f>
        <v>MMM 2010</v>
      </c>
      <c r="H71" s="46" t="str">
        <f>ZZZ__FnCalls!F13</f>
        <v>MMM 2010</v>
      </c>
      <c r="I71" s="46" t="str">
        <f>ZZZ__FnCalls!F14</f>
        <v>MMM 2010</v>
      </c>
      <c r="J71" s="46" t="str">
        <f>ZZZ__FnCalls!F15</f>
        <v>MMM 2010</v>
      </c>
      <c r="K71" s="46" t="str">
        <f>ZZZ__FnCalls!F16</f>
        <v>MMM 2010</v>
      </c>
      <c r="L71" s="46" t="str">
        <f>ZZZ__FnCalls!F17</f>
        <v>MMM 2010</v>
      </c>
      <c r="M71" s="46" t="str">
        <f>ZZZ__FnCalls!F18</f>
        <v>MMM 2010</v>
      </c>
      <c r="N71" s="47" t="str">
        <f>ZZZ__FnCalls!F7</f>
        <v>MMM 2010</v>
      </c>
      <c r="O71" s="46" t="str">
        <f>ZZZ__FnCalls!F19</f>
        <v>MMM 2011</v>
      </c>
      <c r="P71" s="46" t="str">
        <f>ZZZ__FnCalls!F20</f>
        <v>MMM 2011</v>
      </c>
      <c r="Q71" s="46" t="str">
        <f>ZZZ__FnCalls!F21</f>
        <v>MMM 2011</v>
      </c>
      <c r="R71" s="46" t="str">
        <f>ZZZ__FnCalls!F22</f>
        <v>MMM 2011</v>
      </c>
      <c r="S71" s="46" t="str">
        <f>ZZZ__FnCalls!F23</f>
        <v>MMM 2011</v>
      </c>
      <c r="T71" s="46" t="str">
        <f>ZZZ__FnCalls!F24</f>
        <v>MMM 2011</v>
      </c>
      <c r="U71" s="46" t="str">
        <f>ZZZ__FnCalls!F25</f>
        <v>MMM 2011</v>
      </c>
      <c r="V71" s="46" t="str">
        <f>ZZZ__FnCalls!F26</f>
        <v>MMM 2011</v>
      </c>
      <c r="W71" s="46" t="str">
        <f>ZZZ__FnCalls!F27</f>
        <v>MMM 2011</v>
      </c>
      <c r="X71" s="46" t="str">
        <f>ZZZ__FnCalls!F28</f>
        <v>MMM 2011</v>
      </c>
      <c r="Y71" s="46" t="str">
        <f>ZZZ__FnCalls!F29</f>
        <v>MMM 2011</v>
      </c>
      <c r="Z71" s="46" t="str">
        <f>ZZZ__FnCalls!F30</f>
        <v>MMM 2011</v>
      </c>
      <c r="AA71" s="47" t="str">
        <f>ZZZ__FnCalls!F19</f>
        <v>MMM 2011</v>
      </c>
      <c r="AB71" s="46" t="str">
        <f>ZZZ__FnCalls!F31</f>
        <v>MMM 2012</v>
      </c>
      <c r="AC71" s="46" t="str">
        <f>ZZZ__FnCalls!F32</f>
        <v>MMM 2012</v>
      </c>
      <c r="AD71" s="46" t="str">
        <f>ZZZ__FnCalls!F33</f>
        <v>MMM 2012</v>
      </c>
      <c r="AE71" s="46" t="str">
        <f>ZZZ__FnCalls!F34</f>
        <v>MMM 2012</v>
      </c>
      <c r="AF71" s="46" t="str">
        <f>ZZZ__FnCalls!F35</f>
        <v>MMM 2012</v>
      </c>
      <c r="AG71" s="46" t="str">
        <f>ZZZ__FnCalls!F36</f>
        <v>MMM 2012</v>
      </c>
      <c r="AH71" s="46" t="str">
        <f>ZZZ__FnCalls!F37</f>
        <v>MMM 2012</v>
      </c>
      <c r="AI71" s="46" t="str">
        <f>ZZZ__FnCalls!F38</f>
        <v>MMM 2012</v>
      </c>
      <c r="AJ71" s="46" t="str">
        <f>ZZZ__FnCalls!F39</f>
        <v>MMM 2012</v>
      </c>
      <c r="AK71" s="46" t="str">
        <f>ZZZ__FnCalls!F40</f>
        <v>MMM 2012</v>
      </c>
      <c r="AL71" s="46" t="str">
        <f>ZZZ__FnCalls!F41</f>
        <v>MMM 2012</v>
      </c>
      <c r="AM71" s="46" t="str">
        <f>ZZZ__FnCalls!F42</f>
        <v>MMM 2012</v>
      </c>
      <c r="AN71" s="47" t="str">
        <f>ZZZ__FnCalls!F31</f>
        <v>MMM 2012</v>
      </c>
      <c r="AO71" s="46" t="str">
        <f>ZZZ__FnCalls!F43</f>
        <v>MMM 2013</v>
      </c>
      <c r="AP71" s="46" t="str">
        <f>ZZZ__FnCalls!F44</f>
        <v>MMM 2013</v>
      </c>
      <c r="AQ71" s="46" t="str">
        <f>ZZZ__FnCalls!F45</f>
        <v>MMM 2013</v>
      </c>
      <c r="AR71" s="46" t="str">
        <f>ZZZ__FnCalls!F46</f>
        <v>MMM 2013</v>
      </c>
      <c r="AS71" s="46" t="str">
        <f>ZZZ__FnCalls!F47</f>
        <v>MMM 2013</v>
      </c>
      <c r="AT71" s="46" t="str">
        <f>ZZZ__FnCalls!F48</f>
        <v>MMM 2013</v>
      </c>
      <c r="AU71" s="46" t="str">
        <f>ZZZ__FnCalls!F49</f>
        <v>MMM 2013</v>
      </c>
      <c r="AV71" s="46" t="str">
        <f>ZZZ__FnCalls!F50</f>
        <v>MMM 2013</v>
      </c>
      <c r="AW71" s="46" t="str">
        <f>ZZZ__FnCalls!F51</f>
        <v>MMM 2013</v>
      </c>
      <c r="AX71" s="46" t="str">
        <f>ZZZ__FnCalls!F52</f>
        <v>MMM 2013</v>
      </c>
      <c r="AY71" s="46" t="str">
        <f>ZZZ__FnCalls!F53</f>
        <v>MMM 2013</v>
      </c>
      <c r="AZ71" s="46" t="str">
        <f>ZZZ__FnCalls!F54</f>
        <v>MMM 2013</v>
      </c>
      <c r="BA71" s="47" t="str">
        <f>ZZZ__FnCalls!F43</f>
        <v>MMM 2013</v>
      </c>
      <c r="BB71" s="46" t="str">
        <f>ZZZ__FnCalls!F55</f>
        <v>MMM 2014</v>
      </c>
      <c r="BC71" s="46" t="str">
        <f>ZZZ__FnCalls!F56</f>
        <v>MMM 2014</v>
      </c>
      <c r="BD71" s="46" t="str">
        <f>ZZZ__FnCalls!F57</f>
        <v>MMM 2014</v>
      </c>
      <c r="BE71" s="46" t="str">
        <f>ZZZ__FnCalls!F58</f>
        <v>MMM 2014</v>
      </c>
      <c r="BF71" s="46" t="str">
        <f>ZZZ__FnCalls!F59</f>
        <v>MMM 2014</v>
      </c>
      <c r="BG71" s="46" t="str">
        <f>ZZZ__FnCalls!F60</f>
        <v>MMM 2014</v>
      </c>
      <c r="BH71" s="46" t="str">
        <f>ZZZ__FnCalls!F61</f>
        <v>MMM 2014</v>
      </c>
      <c r="BI71" s="46" t="str">
        <f>ZZZ__FnCalls!F62</f>
        <v>MMM 2014</v>
      </c>
      <c r="BJ71" s="46" t="str">
        <f>ZZZ__FnCalls!F63</f>
        <v>MMM 2014</v>
      </c>
      <c r="BK71" s="46" t="str">
        <f>ZZZ__FnCalls!F64</f>
        <v>MMM 2014</v>
      </c>
      <c r="BL71" s="46" t="str">
        <f>ZZZ__FnCalls!F65</f>
        <v>MMM 2014</v>
      </c>
      <c r="BM71" s="46" t="str">
        <f>ZZZ__FnCalls!F66</f>
        <v>MMM 2014</v>
      </c>
      <c r="BN71" s="47" t="str">
        <f>ZZZ__FnCalls!F55</f>
        <v>MMM 2014</v>
      </c>
      <c r="BO71" s="46" t="str">
        <f>ZZZ__FnCalls!F67</f>
        <v>MMM 2015</v>
      </c>
      <c r="BP71" s="46" t="str">
        <f>ZZZ__FnCalls!F68</f>
        <v>MMM 2015</v>
      </c>
      <c r="BQ71" s="46" t="str">
        <f>ZZZ__FnCalls!F69</f>
        <v>MMM 2015</v>
      </c>
      <c r="BR71" s="46" t="str">
        <f>ZZZ__FnCalls!F70</f>
        <v>MMM 2015</v>
      </c>
      <c r="BS71" s="46" t="str">
        <f>ZZZ__FnCalls!F71</f>
        <v>MMM 2015</v>
      </c>
      <c r="BT71" s="46" t="str">
        <f>ZZZ__FnCalls!F72</f>
        <v>MMM 2015</v>
      </c>
      <c r="BU71" s="46" t="str">
        <f>ZZZ__FnCalls!F73</f>
        <v>MMM 2015</v>
      </c>
      <c r="BV71" s="46" t="str">
        <f>ZZZ__FnCalls!F74</f>
        <v>MMM 2015</v>
      </c>
      <c r="BW71" s="46" t="str">
        <f>ZZZ__FnCalls!F75</f>
        <v>MMM 2015</v>
      </c>
      <c r="BX71" s="46" t="str">
        <f>ZZZ__FnCalls!F76</f>
        <v>MMM 2015</v>
      </c>
      <c r="BY71" s="46" t="str">
        <f>ZZZ__FnCalls!F77</f>
        <v>MMM 2015</v>
      </c>
      <c r="BZ71" s="46" t="str">
        <f>ZZZ__FnCalls!F78</f>
        <v>MMM 2015</v>
      </c>
      <c r="CA71" s="47" t="str">
        <f>ZZZ__FnCalls!F67</f>
        <v>MMM 2015</v>
      </c>
      <c r="CB71" s="46" t="str">
        <f>ZZZ__FnCalls!F79</f>
        <v>MMM 2016</v>
      </c>
      <c r="CC71" s="46" t="str">
        <f>ZZZ__FnCalls!F80</f>
        <v>MMM 2016</v>
      </c>
      <c r="CD71" s="46" t="str">
        <f>ZZZ__FnCalls!F81</f>
        <v>MMM 2016</v>
      </c>
      <c r="CE71" s="46" t="str">
        <f>ZZZ__FnCalls!F82</f>
        <v>MMM 2016</v>
      </c>
      <c r="CF71" s="46" t="str">
        <f>ZZZ__FnCalls!F83</f>
        <v>MMM 2016</v>
      </c>
      <c r="CG71" s="46" t="str">
        <f>ZZZ__FnCalls!F84</f>
        <v>MMM 2016</v>
      </c>
      <c r="CH71" s="46" t="str">
        <f>ZZZ__FnCalls!F85</f>
        <v>MMM 2016</v>
      </c>
      <c r="CI71" s="46" t="str">
        <f>ZZZ__FnCalls!F86</f>
        <v>MMM 2016</v>
      </c>
      <c r="CJ71" s="46" t="str">
        <f>ZZZ__FnCalls!F87</f>
        <v>MMM 2016</v>
      </c>
      <c r="CK71" s="46" t="str">
        <f>ZZZ__FnCalls!F88</f>
        <v>MMM 2016</v>
      </c>
      <c r="CL71" s="46" t="str">
        <f>ZZZ__FnCalls!F89</f>
        <v>MMM 2016</v>
      </c>
      <c r="CM71" s="46" t="str">
        <f>ZZZ__FnCalls!F90</f>
        <v>MMM 2016</v>
      </c>
      <c r="CN71" s="47" t="str">
        <f>ZZZ__FnCalls!F79</f>
        <v>MMM 2016</v>
      </c>
      <c r="CO71" s="46" t="str">
        <f>ZZZ__FnCalls!F91</f>
        <v>MMM 2017</v>
      </c>
      <c r="CP71" s="46" t="str">
        <f>ZZZ__FnCalls!F92</f>
        <v>MMM 2017</v>
      </c>
      <c r="CQ71" s="46" t="str">
        <f>ZZZ__FnCalls!F93</f>
        <v>MMM 2017</v>
      </c>
      <c r="CR71" s="46" t="str">
        <f>ZZZ__FnCalls!F94</f>
        <v>MMM 2017</v>
      </c>
      <c r="CS71" s="46" t="str">
        <f>ZZZ__FnCalls!F95</f>
        <v>MMM 2017</v>
      </c>
      <c r="CT71" s="46" t="str">
        <f>ZZZ__FnCalls!F96</f>
        <v>MMM 2017</v>
      </c>
      <c r="CU71" s="46" t="str">
        <f>ZZZ__FnCalls!F97</f>
        <v>MMM 2017</v>
      </c>
      <c r="CV71" s="46" t="str">
        <f>ZZZ__FnCalls!F98</f>
        <v>MMM 2017</v>
      </c>
      <c r="CW71" s="46" t="str">
        <f>ZZZ__FnCalls!F99</f>
        <v>MMM 2017</v>
      </c>
      <c r="CX71" s="46" t="str">
        <f>ZZZ__FnCalls!F100</f>
        <v>MMM 2017</v>
      </c>
      <c r="CY71" s="46" t="str">
        <f>ZZZ__FnCalls!F101</f>
        <v>MMM 2017</v>
      </c>
      <c r="CZ71" s="46" t="str">
        <f>ZZZ__FnCalls!F102</f>
        <v>MMM 2017</v>
      </c>
      <c r="DA71" s="47" t="str">
        <f>ZZZ__FnCalls!F91</f>
        <v>MMM 2017</v>
      </c>
      <c r="DB71" s="46" t="str">
        <f>ZZZ__FnCalls!F103</f>
        <v>MMM 2018</v>
      </c>
      <c r="DC71" s="46" t="str">
        <f>ZZZ__FnCalls!F104</f>
        <v>MMM 2018</v>
      </c>
      <c r="DD71" s="46" t="str">
        <f>ZZZ__FnCalls!F105</f>
        <v>MMM 2018</v>
      </c>
      <c r="DE71" s="46" t="str">
        <f>ZZZ__FnCalls!F106</f>
        <v>MMM 2018</v>
      </c>
      <c r="DF71" s="46" t="str">
        <f>ZZZ__FnCalls!F107</f>
        <v>MMM 2018</v>
      </c>
      <c r="DG71" s="46" t="str">
        <f>ZZZ__FnCalls!F108</f>
        <v>MMM 2018</v>
      </c>
      <c r="DH71" s="46" t="str">
        <f>ZZZ__FnCalls!F109</f>
        <v>MMM 2018</v>
      </c>
      <c r="DI71" s="46" t="str">
        <f>ZZZ__FnCalls!F110</f>
        <v>MMM 2018</v>
      </c>
      <c r="DJ71" s="46" t="str">
        <f>ZZZ__FnCalls!F111</f>
        <v>MMM 2018</v>
      </c>
      <c r="DK71" s="46" t="str">
        <f>ZZZ__FnCalls!F112</f>
        <v>MMM 2018</v>
      </c>
      <c r="DL71" s="46" t="str">
        <f>ZZZ__FnCalls!F113</f>
        <v>MMM 2018</v>
      </c>
      <c r="DM71" s="46" t="str">
        <f>ZZZ__FnCalls!F114</f>
        <v>MMM 2018</v>
      </c>
      <c r="DN71" s="47" t="str">
        <f>ZZZ__FnCalls!F103</f>
        <v>MMM 2018</v>
      </c>
      <c r="DO71" s="46" t="str">
        <f>ZZZ__FnCalls!F115</f>
        <v>MMM 2019</v>
      </c>
      <c r="DP71" s="46" t="str">
        <f>ZZZ__FnCalls!F116</f>
        <v>MMM 2019</v>
      </c>
      <c r="DQ71" s="46" t="str">
        <f>ZZZ__FnCalls!F117</f>
        <v>MMM 2019</v>
      </c>
      <c r="DR71" s="46" t="str">
        <f>ZZZ__FnCalls!F118</f>
        <v>MMM 2019</v>
      </c>
      <c r="DS71" s="46" t="str">
        <f>ZZZ__FnCalls!F119</f>
        <v>MMM 2019</v>
      </c>
      <c r="DT71" s="46" t="str">
        <f>ZZZ__FnCalls!F120</f>
        <v>MMM 2019</v>
      </c>
      <c r="DU71" s="46" t="str">
        <f>ZZZ__FnCalls!F121</f>
        <v>MMM 2019</v>
      </c>
      <c r="DV71" s="46" t="str">
        <f>ZZZ__FnCalls!F122</f>
        <v>MMM 2019</v>
      </c>
      <c r="DW71" s="46" t="str">
        <f>ZZZ__FnCalls!F123</f>
        <v>MMM 2019</v>
      </c>
      <c r="DX71" s="46" t="str">
        <f>ZZZ__FnCalls!F124</f>
        <v>MMM 2019</v>
      </c>
      <c r="DY71" s="46" t="str">
        <f>ZZZ__FnCalls!F125</f>
        <v>MMM 2019</v>
      </c>
      <c r="DZ71" s="46" t="str">
        <f>ZZZ__FnCalls!F126</f>
        <v>MMM 2019</v>
      </c>
      <c r="EA71" s="47" t="str">
        <f>ZZZ__FnCalls!F115</f>
        <v>MMM 2019</v>
      </c>
      <c r="EB71" s="46" t="str">
        <f>ZZZ__FnCalls!F127</f>
        <v>MMM 2020</v>
      </c>
      <c r="EC71" s="46" t="str">
        <f>ZZZ__FnCalls!F128</f>
        <v>MMM 2020</v>
      </c>
      <c r="ED71" s="46" t="str">
        <f>ZZZ__FnCalls!F129</f>
        <v>MMM 2020</v>
      </c>
      <c r="EE71" s="46" t="str">
        <f>ZZZ__FnCalls!F130</f>
        <v>MMM 2020</v>
      </c>
      <c r="EF71" s="46" t="str">
        <f>ZZZ__FnCalls!F131</f>
        <v>MMM 2020</v>
      </c>
      <c r="EG71" s="46" t="str">
        <f>ZZZ__FnCalls!F132</f>
        <v>MMM 2020</v>
      </c>
      <c r="EH71" s="46" t="str">
        <f>ZZZ__FnCalls!F133</f>
        <v>MMM 2020</v>
      </c>
      <c r="EI71" s="46" t="str">
        <f>ZZZ__FnCalls!F134</f>
        <v>MMM 2020</v>
      </c>
      <c r="EJ71" s="46" t="str">
        <f>ZZZ__FnCalls!F135</f>
        <v>MMM 2020</v>
      </c>
      <c r="EK71" s="46" t="str">
        <f>ZZZ__FnCalls!F136</f>
        <v>MMM 2020</v>
      </c>
      <c r="EL71" s="46" t="str">
        <f>ZZZ__FnCalls!F137</f>
        <v>MMM 2020</v>
      </c>
      <c r="EM71" s="46" t="str">
        <f>ZZZ__FnCalls!F138</f>
        <v>MMM 2020</v>
      </c>
      <c r="EN71" s="47" t="str">
        <f>ZZZ__FnCalls!F127</f>
        <v>MMM 2020</v>
      </c>
    </row>
    <row r="72" spans="1:144" ht="12.75" customHeight="1" x14ac:dyDescent="0.2">
      <c r="A72" s="2" t="str">
        <f>"Capital_Desired_1"</f>
        <v>Capital_Desired_1</v>
      </c>
    </row>
    <row r="73" spans="1:144" ht="12.75" customHeight="1" x14ac:dyDescent="0.2">
      <c r="B73" s="19" t="str">
        <f>ZZZ__FnCalls!F7</f>
        <v>MMM 2010</v>
      </c>
      <c r="C73" s="20" t="str">
        <f>ZZZ__FnCalls!F8</f>
        <v>MMM 2010</v>
      </c>
      <c r="D73" s="20" t="str">
        <f>ZZZ__FnCalls!F9</f>
        <v>MMM 2010</v>
      </c>
      <c r="E73" s="20" t="str">
        <f>ZZZ__FnCalls!F10</f>
        <v>MMM 2010</v>
      </c>
      <c r="F73" s="20" t="str">
        <f>ZZZ__FnCalls!F11</f>
        <v>MMM 2010</v>
      </c>
      <c r="G73" s="20" t="str">
        <f>ZZZ__FnCalls!F12</f>
        <v>MMM 2010</v>
      </c>
      <c r="H73" s="20" t="str">
        <f>ZZZ__FnCalls!F13</f>
        <v>MMM 2010</v>
      </c>
      <c r="I73" s="20" t="str">
        <f>ZZZ__FnCalls!F14</f>
        <v>MMM 2010</v>
      </c>
      <c r="J73" s="20" t="str">
        <f>ZZZ__FnCalls!F15</f>
        <v>MMM 2010</v>
      </c>
      <c r="K73" s="20" t="str">
        <f>ZZZ__FnCalls!F16</f>
        <v>MMM 2010</v>
      </c>
      <c r="L73" s="20" t="str">
        <f>ZZZ__FnCalls!F17</f>
        <v>MMM 2010</v>
      </c>
      <c r="M73" s="20" t="str">
        <f>ZZZ__FnCalls!F18</f>
        <v>MMM 2010</v>
      </c>
      <c r="N73" s="21" t="str">
        <f>ZZZ__FnCalls!H7</f>
        <v>2010</v>
      </c>
      <c r="O73" s="20" t="str">
        <f>ZZZ__FnCalls!F19</f>
        <v>MMM 2011</v>
      </c>
      <c r="P73" s="20" t="str">
        <f>ZZZ__FnCalls!F20</f>
        <v>MMM 2011</v>
      </c>
      <c r="Q73" s="20" t="str">
        <f>ZZZ__FnCalls!F21</f>
        <v>MMM 2011</v>
      </c>
      <c r="R73" s="20" t="str">
        <f>ZZZ__FnCalls!F22</f>
        <v>MMM 2011</v>
      </c>
      <c r="S73" s="20" t="str">
        <f>ZZZ__FnCalls!F23</f>
        <v>MMM 2011</v>
      </c>
      <c r="T73" s="20" t="str">
        <f>ZZZ__FnCalls!F24</f>
        <v>MMM 2011</v>
      </c>
      <c r="U73" s="20" t="str">
        <f>ZZZ__FnCalls!F25</f>
        <v>MMM 2011</v>
      </c>
      <c r="V73" s="20" t="str">
        <f>ZZZ__FnCalls!F26</f>
        <v>MMM 2011</v>
      </c>
      <c r="W73" s="20" t="str">
        <f>ZZZ__FnCalls!F27</f>
        <v>MMM 2011</v>
      </c>
      <c r="X73" s="20" t="str">
        <f>ZZZ__FnCalls!F28</f>
        <v>MMM 2011</v>
      </c>
      <c r="Y73" s="20" t="str">
        <f>ZZZ__FnCalls!F29</f>
        <v>MMM 2011</v>
      </c>
      <c r="Z73" s="20" t="str">
        <f>ZZZ__FnCalls!F30</f>
        <v>MMM 2011</v>
      </c>
      <c r="AA73" s="21" t="str">
        <f>ZZZ__FnCalls!H19</f>
        <v>2011</v>
      </c>
      <c r="AB73" s="20" t="str">
        <f>ZZZ__FnCalls!F31</f>
        <v>MMM 2012</v>
      </c>
      <c r="AC73" s="20" t="str">
        <f>ZZZ__FnCalls!F32</f>
        <v>MMM 2012</v>
      </c>
      <c r="AD73" s="20" t="str">
        <f>ZZZ__FnCalls!F33</f>
        <v>MMM 2012</v>
      </c>
      <c r="AE73" s="20" t="str">
        <f>ZZZ__FnCalls!F34</f>
        <v>MMM 2012</v>
      </c>
      <c r="AF73" s="20" t="str">
        <f>ZZZ__FnCalls!F35</f>
        <v>MMM 2012</v>
      </c>
      <c r="AG73" s="20" t="str">
        <f>ZZZ__FnCalls!F36</f>
        <v>MMM 2012</v>
      </c>
      <c r="AH73" s="20" t="str">
        <f>ZZZ__FnCalls!F37</f>
        <v>MMM 2012</v>
      </c>
      <c r="AI73" s="20" t="str">
        <f>ZZZ__FnCalls!F38</f>
        <v>MMM 2012</v>
      </c>
      <c r="AJ73" s="20" t="str">
        <f>ZZZ__FnCalls!F39</f>
        <v>MMM 2012</v>
      </c>
      <c r="AK73" s="20" t="str">
        <f>ZZZ__FnCalls!F40</f>
        <v>MMM 2012</v>
      </c>
      <c r="AL73" s="20" t="str">
        <f>ZZZ__FnCalls!F41</f>
        <v>MMM 2012</v>
      </c>
      <c r="AM73" s="20" t="str">
        <f>ZZZ__FnCalls!F42</f>
        <v>MMM 2012</v>
      </c>
      <c r="AN73" s="21" t="str">
        <f>ZZZ__FnCalls!H31</f>
        <v>2012</v>
      </c>
      <c r="AO73" s="20" t="str">
        <f>ZZZ__FnCalls!F43</f>
        <v>MMM 2013</v>
      </c>
      <c r="AP73" s="20" t="str">
        <f>ZZZ__FnCalls!F44</f>
        <v>MMM 2013</v>
      </c>
      <c r="AQ73" s="20" t="str">
        <f>ZZZ__FnCalls!F45</f>
        <v>MMM 2013</v>
      </c>
      <c r="AR73" s="20" t="str">
        <f>ZZZ__FnCalls!F46</f>
        <v>MMM 2013</v>
      </c>
      <c r="AS73" s="20" t="str">
        <f>ZZZ__FnCalls!F47</f>
        <v>MMM 2013</v>
      </c>
      <c r="AT73" s="20" t="str">
        <f>ZZZ__FnCalls!F48</f>
        <v>MMM 2013</v>
      </c>
      <c r="AU73" s="20" t="str">
        <f>ZZZ__FnCalls!F49</f>
        <v>MMM 2013</v>
      </c>
      <c r="AV73" s="20" t="str">
        <f>ZZZ__FnCalls!F50</f>
        <v>MMM 2013</v>
      </c>
      <c r="AW73" s="20" t="str">
        <f>ZZZ__FnCalls!F51</f>
        <v>MMM 2013</v>
      </c>
      <c r="AX73" s="20" t="str">
        <f>ZZZ__FnCalls!F52</f>
        <v>MMM 2013</v>
      </c>
      <c r="AY73" s="20" t="str">
        <f>ZZZ__FnCalls!F53</f>
        <v>MMM 2013</v>
      </c>
      <c r="AZ73" s="20" t="str">
        <f>ZZZ__FnCalls!F54</f>
        <v>MMM 2013</v>
      </c>
      <c r="BA73" s="21" t="str">
        <f>ZZZ__FnCalls!H43</f>
        <v>2013</v>
      </c>
      <c r="BB73" s="20" t="str">
        <f>ZZZ__FnCalls!F55</f>
        <v>MMM 2014</v>
      </c>
      <c r="BC73" s="20" t="str">
        <f>ZZZ__FnCalls!F56</f>
        <v>MMM 2014</v>
      </c>
      <c r="BD73" s="20" t="str">
        <f>ZZZ__FnCalls!F57</f>
        <v>MMM 2014</v>
      </c>
      <c r="BE73" s="20" t="str">
        <f>ZZZ__FnCalls!F58</f>
        <v>MMM 2014</v>
      </c>
      <c r="BF73" s="20" t="str">
        <f>ZZZ__FnCalls!F59</f>
        <v>MMM 2014</v>
      </c>
      <c r="BG73" s="20" t="str">
        <f>ZZZ__FnCalls!F60</f>
        <v>MMM 2014</v>
      </c>
      <c r="BH73" s="20" t="str">
        <f>ZZZ__FnCalls!F61</f>
        <v>MMM 2014</v>
      </c>
      <c r="BI73" s="20" t="str">
        <f>ZZZ__FnCalls!F62</f>
        <v>MMM 2014</v>
      </c>
      <c r="BJ73" s="20" t="str">
        <f>ZZZ__FnCalls!F63</f>
        <v>MMM 2014</v>
      </c>
      <c r="BK73" s="20" t="str">
        <f>ZZZ__FnCalls!F64</f>
        <v>MMM 2014</v>
      </c>
      <c r="BL73" s="20" t="str">
        <f>ZZZ__FnCalls!F65</f>
        <v>MMM 2014</v>
      </c>
      <c r="BM73" s="20" t="str">
        <f>ZZZ__FnCalls!F66</f>
        <v>MMM 2014</v>
      </c>
      <c r="BN73" s="21" t="str">
        <f>ZZZ__FnCalls!H55</f>
        <v>2014</v>
      </c>
      <c r="BO73" s="20" t="str">
        <f>ZZZ__FnCalls!F67</f>
        <v>MMM 2015</v>
      </c>
      <c r="BP73" s="20" t="str">
        <f>ZZZ__FnCalls!F68</f>
        <v>MMM 2015</v>
      </c>
      <c r="BQ73" s="20" t="str">
        <f>ZZZ__FnCalls!F69</f>
        <v>MMM 2015</v>
      </c>
      <c r="BR73" s="20" t="str">
        <f>ZZZ__FnCalls!F70</f>
        <v>MMM 2015</v>
      </c>
      <c r="BS73" s="20" t="str">
        <f>ZZZ__FnCalls!F71</f>
        <v>MMM 2015</v>
      </c>
      <c r="BT73" s="20" t="str">
        <f>ZZZ__FnCalls!F72</f>
        <v>MMM 2015</v>
      </c>
      <c r="BU73" s="20" t="str">
        <f>ZZZ__FnCalls!F73</f>
        <v>MMM 2015</v>
      </c>
      <c r="BV73" s="20" t="str">
        <f>ZZZ__FnCalls!F74</f>
        <v>MMM 2015</v>
      </c>
      <c r="BW73" s="20" t="str">
        <f>ZZZ__FnCalls!F75</f>
        <v>MMM 2015</v>
      </c>
      <c r="BX73" s="20" t="str">
        <f>ZZZ__FnCalls!F76</f>
        <v>MMM 2015</v>
      </c>
      <c r="BY73" s="20" t="str">
        <f>ZZZ__FnCalls!F77</f>
        <v>MMM 2015</v>
      </c>
      <c r="BZ73" s="20" t="str">
        <f>ZZZ__FnCalls!F78</f>
        <v>MMM 2015</v>
      </c>
      <c r="CA73" s="21" t="str">
        <f>ZZZ__FnCalls!H67</f>
        <v>2015</v>
      </c>
      <c r="CB73" s="20" t="str">
        <f>ZZZ__FnCalls!F79</f>
        <v>MMM 2016</v>
      </c>
      <c r="CC73" s="20" t="str">
        <f>ZZZ__FnCalls!F80</f>
        <v>MMM 2016</v>
      </c>
      <c r="CD73" s="20" t="str">
        <f>ZZZ__FnCalls!F81</f>
        <v>MMM 2016</v>
      </c>
      <c r="CE73" s="20" t="str">
        <f>ZZZ__FnCalls!F82</f>
        <v>MMM 2016</v>
      </c>
      <c r="CF73" s="20" t="str">
        <f>ZZZ__FnCalls!F83</f>
        <v>MMM 2016</v>
      </c>
      <c r="CG73" s="20" t="str">
        <f>ZZZ__FnCalls!F84</f>
        <v>MMM 2016</v>
      </c>
      <c r="CH73" s="20" t="str">
        <f>ZZZ__FnCalls!F85</f>
        <v>MMM 2016</v>
      </c>
      <c r="CI73" s="20" t="str">
        <f>ZZZ__FnCalls!F86</f>
        <v>MMM 2016</v>
      </c>
      <c r="CJ73" s="20" t="str">
        <f>ZZZ__FnCalls!F87</f>
        <v>MMM 2016</v>
      </c>
      <c r="CK73" s="20" t="str">
        <f>ZZZ__FnCalls!F88</f>
        <v>MMM 2016</v>
      </c>
      <c r="CL73" s="20" t="str">
        <f>ZZZ__FnCalls!F89</f>
        <v>MMM 2016</v>
      </c>
      <c r="CM73" s="20" t="str">
        <f>ZZZ__FnCalls!F90</f>
        <v>MMM 2016</v>
      </c>
      <c r="CN73" s="21" t="str">
        <f>ZZZ__FnCalls!H79</f>
        <v>2016</v>
      </c>
      <c r="CO73" s="20" t="str">
        <f>ZZZ__FnCalls!F91</f>
        <v>MMM 2017</v>
      </c>
      <c r="CP73" s="20" t="str">
        <f>ZZZ__FnCalls!F92</f>
        <v>MMM 2017</v>
      </c>
      <c r="CQ73" s="20" t="str">
        <f>ZZZ__FnCalls!F93</f>
        <v>MMM 2017</v>
      </c>
      <c r="CR73" s="20" t="str">
        <f>ZZZ__FnCalls!F94</f>
        <v>MMM 2017</v>
      </c>
      <c r="CS73" s="20" t="str">
        <f>ZZZ__FnCalls!F95</f>
        <v>MMM 2017</v>
      </c>
      <c r="CT73" s="20" t="str">
        <f>ZZZ__FnCalls!F96</f>
        <v>MMM 2017</v>
      </c>
      <c r="CU73" s="20" t="str">
        <f>ZZZ__FnCalls!F97</f>
        <v>MMM 2017</v>
      </c>
      <c r="CV73" s="20" t="str">
        <f>ZZZ__FnCalls!F98</f>
        <v>MMM 2017</v>
      </c>
      <c r="CW73" s="20" t="str">
        <f>ZZZ__FnCalls!F99</f>
        <v>MMM 2017</v>
      </c>
      <c r="CX73" s="20" t="str">
        <f>ZZZ__FnCalls!F100</f>
        <v>MMM 2017</v>
      </c>
      <c r="CY73" s="20" t="str">
        <f>ZZZ__FnCalls!F101</f>
        <v>MMM 2017</v>
      </c>
      <c r="CZ73" s="20" t="str">
        <f>ZZZ__FnCalls!F102</f>
        <v>MMM 2017</v>
      </c>
      <c r="DA73" s="21" t="str">
        <f>ZZZ__FnCalls!H91</f>
        <v>2017</v>
      </c>
      <c r="DB73" s="20" t="str">
        <f>ZZZ__FnCalls!F103</f>
        <v>MMM 2018</v>
      </c>
      <c r="DC73" s="20" t="str">
        <f>ZZZ__FnCalls!F104</f>
        <v>MMM 2018</v>
      </c>
      <c r="DD73" s="20" t="str">
        <f>ZZZ__FnCalls!F105</f>
        <v>MMM 2018</v>
      </c>
      <c r="DE73" s="20" t="str">
        <f>ZZZ__FnCalls!F106</f>
        <v>MMM 2018</v>
      </c>
      <c r="DF73" s="20" t="str">
        <f>ZZZ__FnCalls!F107</f>
        <v>MMM 2018</v>
      </c>
      <c r="DG73" s="20" t="str">
        <f>ZZZ__FnCalls!F108</f>
        <v>MMM 2018</v>
      </c>
      <c r="DH73" s="20" t="str">
        <f>ZZZ__FnCalls!F109</f>
        <v>MMM 2018</v>
      </c>
      <c r="DI73" s="20" t="str">
        <f>ZZZ__FnCalls!F110</f>
        <v>MMM 2018</v>
      </c>
      <c r="DJ73" s="20" t="str">
        <f>ZZZ__FnCalls!F111</f>
        <v>MMM 2018</v>
      </c>
      <c r="DK73" s="20" t="str">
        <f>ZZZ__FnCalls!F112</f>
        <v>MMM 2018</v>
      </c>
      <c r="DL73" s="20" t="str">
        <f>ZZZ__FnCalls!F113</f>
        <v>MMM 2018</v>
      </c>
      <c r="DM73" s="20" t="str">
        <f>ZZZ__FnCalls!F114</f>
        <v>MMM 2018</v>
      </c>
      <c r="DN73" s="21" t="str">
        <f>ZZZ__FnCalls!H103</f>
        <v>2018</v>
      </c>
      <c r="DO73" s="20" t="str">
        <f>ZZZ__FnCalls!F115</f>
        <v>MMM 2019</v>
      </c>
      <c r="DP73" s="20" t="str">
        <f>ZZZ__FnCalls!F116</f>
        <v>MMM 2019</v>
      </c>
      <c r="DQ73" s="20" t="str">
        <f>ZZZ__FnCalls!F117</f>
        <v>MMM 2019</v>
      </c>
      <c r="DR73" s="20" t="str">
        <f>ZZZ__FnCalls!F118</f>
        <v>MMM 2019</v>
      </c>
      <c r="DS73" s="20" t="str">
        <f>ZZZ__FnCalls!F119</f>
        <v>MMM 2019</v>
      </c>
      <c r="DT73" s="20" t="str">
        <f>ZZZ__FnCalls!F120</f>
        <v>MMM 2019</v>
      </c>
      <c r="DU73" s="20" t="str">
        <f>ZZZ__FnCalls!F121</f>
        <v>MMM 2019</v>
      </c>
      <c r="DV73" s="20" t="str">
        <f>ZZZ__FnCalls!F122</f>
        <v>MMM 2019</v>
      </c>
      <c r="DW73" s="20" t="str">
        <f>ZZZ__FnCalls!F123</f>
        <v>MMM 2019</v>
      </c>
      <c r="DX73" s="20" t="str">
        <f>ZZZ__FnCalls!F124</f>
        <v>MMM 2019</v>
      </c>
      <c r="DY73" s="20" t="str">
        <f>ZZZ__FnCalls!F125</f>
        <v>MMM 2019</v>
      </c>
      <c r="DZ73" s="20" t="str">
        <f>ZZZ__FnCalls!F126</f>
        <v>MMM 2019</v>
      </c>
      <c r="EA73" s="21" t="str">
        <f>ZZZ__FnCalls!H115</f>
        <v>2019</v>
      </c>
      <c r="EB73" s="20" t="str">
        <f>ZZZ__FnCalls!F127</f>
        <v>MMM 2020</v>
      </c>
      <c r="EC73" s="20" t="str">
        <f>ZZZ__FnCalls!F128</f>
        <v>MMM 2020</v>
      </c>
      <c r="ED73" s="20" t="str">
        <f>ZZZ__FnCalls!F129</f>
        <v>MMM 2020</v>
      </c>
      <c r="EE73" s="20" t="str">
        <f>ZZZ__FnCalls!F130</f>
        <v>MMM 2020</v>
      </c>
      <c r="EF73" s="20" t="str">
        <f>ZZZ__FnCalls!F131</f>
        <v>MMM 2020</v>
      </c>
      <c r="EG73" s="20" t="str">
        <f>ZZZ__FnCalls!F132</f>
        <v>MMM 2020</v>
      </c>
      <c r="EH73" s="20" t="str">
        <f>ZZZ__FnCalls!F133</f>
        <v>MMM 2020</v>
      </c>
      <c r="EI73" s="20" t="str">
        <f>ZZZ__FnCalls!F134</f>
        <v>MMM 2020</v>
      </c>
      <c r="EJ73" s="20" t="str">
        <f>ZZZ__FnCalls!F135</f>
        <v>MMM 2020</v>
      </c>
      <c r="EK73" s="20" t="str">
        <f>ZZZ__FnCalls!F136</f>
        <v>MMM 2020</v>
      </c>
      <c r="EL73" s="20" t="str">
        <f>ZZZ__FnCalls!F137</f>
        <v>MMM 2020</v>
      </c>
      <c r="EM73" s="20" t="str">
        <f>ZZZ__FnCalls!F138</f>
        <v>MMM 2020</v>
      </c>
      <c r="EN73" s="21" t="str">
        <f>ZZZ__FnCalls!H127</f>
        <v>2020</v>
      </c>
    </row>
    <row r="74" spans="1:144" ht="12.75" customHeight="1" x14ac:dyDescent="0.2">
      <c r="A74" s="5"/>
      <c r="B74" s="46">
        <f>ZZZ__FnCalls!A7</f>
        <v>40179</v>
      </c>
      <c r="C74" s="46">
        <f>ZZZ__FnCalls!A8</f>
        <v>40210</v>
      </c>
      <c r="D74" s="46">
        <f>ZZZ__FnCalls!A9</f>
        <v>40238</v>
      </c>
      <c r="E74" s="46">
        <f>ZZZ__FnCalls!A10</f>
        <v>40269</v>
      </c>
      <c r="F74" s="46">
        <f>ZZZ__FnCalls!A11</f>
        <v>40299</v>
      </c>
      <c r="G74" s="46">
        <f>ZZZ__FnCalls!A12</f>
        <v>40330</v>
      </c>
      <c r="H74" s="46">
        <f>ZZZ__FnCalls!A13</f>
        <v>40360</v>
      </c>
      <c r="I74" s="46">
        <f>ZZZ__FnCalls!A14</f>
        <v>40391</v>
      </c>
      <c r="J74" s="46">
        <f>ZZZ__FnCalls!A15</f>
        <v>40422</v>
      </c>
      <c r="K74" s="46">
        <f>ZZZ__FnCalls!A16</f>
        <v>40452</v>
      </c>
      <c r="L74" s="46">
        <f>ZZZ__FnCalls!A17</f>
        <v>40483</v>
      </c>
      <c r="M74" s="46">
        <f>ZZZ__FnCalls!A18</f>
        <v>40513</v>
      </c>
      <c r="N74" s="47">
        <f>ZZZ__FnCalls!A7</f>
        <v>40179</v>
      </c>
      <c r="O74" s="46">
        <f>ZZZ__FnCalls!A19</f>
        <v>40544</v>
      </c>
      <c r="P74" s="46">
        <f>ZZZ__FnCalls!A20</f>
        <v>40575</v>
      </c>
      <c r="Q74" s="46">
        <f>ZZZ__FnCalls!A21</f>
        <v>40603</v>
      </c>
      <c r="R74" s="46">
        <f>ZZZ__FnCalls!A22</f>
        <v>40634</v>
      </c>
      <c r="S74" s="46">
        <f>ZZZ__FnCalls!A23</f>
        <v>40664</v>
      </c>
      <c r="T74" s="46">
        <f>ZZZ__FnCalls!A24</f>
        <v>40695</v>
      </c>
      <c r="U74" s="46">
        <f>ZZZ__FnCalls!A25</f>
        <v>40725</v>
      </c>
      <c r="V74" s="46">
        <f>ZZZ__FnCalls!A26</f>
        <v>40756</v>
      </c>
      <c r="W74" s="46">
        <f>ZZZ__FnCalls!A27</f>
        <v>40787</v>
      </c>
      <c r="X74" s="46">
        <f>ZZZ__FnCalls!A28</f>
        <v>40817</v>
      </c>
      <c r="Y74" s="46">
        <f>ZZZ__FnCalls!A29</f>
        <v>40848</v>
      </c>
      <c r="Z74" s="46">
        <f>ZZZ__FnCalls!A30</f>
        <v>40878</v>
      </c>
      <c r="AA74" s="47">
        <f>ZZZ__FnCalls!A19</f>
        <v>40544</v>
      </c>
      <c r="AB74" s="46">
        <f>ZZZ__FnCalls!A31</f>
        <v>40909</v>
      </c>
      <c r="AC74" s="46">
        <f>ZZZ__FnCalls!A32</f>
        <v>40940</v>
      </c>
      <c r="AD74" s="46">
        <f>ZZZ__FnCalls!A33</f>
        <v>40969</v>
      </c>
      <c r="AE74" s="46">
        <f>ZZZ__FnCalls!A34</f>
        <v>41000</v>
      </c>
      <c r="AF74" s="46">
        <f>ZZZ__FnCalls!A35</f>
        <v>41030</v>
      </c>
      <c r="AG74" s="46">
        <f>ZZZ__FnCalls!A36</f>
        <v>41061</v>
      </c>
      <c r="AH74" s="46">
        <f>ZZZ__FnCalls!A37</f>
        <v>41091</v>
      </c>
      <c r="AI74" s="46">
        <f>ZZZ__FnCalls!A38</f>
        <v>41122</v>
      </c>
      <c r="AJ74" s="46">
        <f>ZZZ__FnCalls!A39</f>
        <v>41153</v>
      </c>
      <c r="AK74" s="46">
        <f>ZZZ__FnCalls!A40</f>
        <v>41183</v>
      </c>
      <c r="AL74" s="46">
        <f>ZZZ__FnCalls!A41</f>
        <v>41214</v>
      </c>
      <c r="AM74" s="46">
        <f>ZZZ__FnCalls!A42</f>
        <v>41244</v>
      </c>
      <c r="AN74" s="47">
        <f>ZZZ__FnCalls!A31</f>
        <v>40909</v>
      </c>
      <c r="AO74" s="46">
        <f>ZZZ__FnCalls!A43</f>
        <v>41275</v>
      </c>
      <c r="AP74" s="46">
        <f>ZZZ__FnCalls!A44</f>
        <v>41306</v>
      </c>
      <c r="AQ74" s="46">
        <f>ZZZ__FnCalls!A45</f>
        <v>41334</v>
      </c>
      <c r="AR74" s="46">
        <f>ZZZ__FnCalls!A46</f>
        <v>41365</v>
      </c>
      <c r="AS74" s="46">
        <f>ZZZ__FnCalls!A47</f>
        <v>41395</v>
      </c>
      <c r="AT74" s="46">
        <f>ZZZ__FnCalls!A48</f>
        <v>41426</v>
      </c>
      <c r="AU74" s="46">
        <f>ZZZ__FnCalls!A49</f>
        <v>41456</v>
      </c>
      <c r="AV74" s="46">
        <f>ZZZ__FnCalls!A50</f>
        <v>41487</v>
      </c>
      <c r="AW74" s="46">
        <f>ZZZ__FnCalls!A51</f>
        <v>41518</v>
      </c>
      <c r="AX74" s="46">
        <f>ZZZ__FnCalls!A52</f>
        <v>41548</v>
      </c>
      <c r="AY74" s="46">
        <f>ZZZ__FnCalls!A53</f>
        <v>41579</v>
      </c>
      <c r="AZ74" s="46">
        <f>ZZZ__FnCalls!A54</f>
        <v>41609</v>
      </c>
      <c r="BA74" s="47">
        <f>ZZZ__FnCalls!A43</f>
        <v>41275</v>
      </c>
      <c r="BB74" s="46">
        <f>ZZZ__FnCalls!A55</f>
        <v>41640</v>
      </c>
      <c r="BC74" s="46">
        <f>ZZZ__FnCalls!A56</f>
        <v>41671</v>
      </c>
      <c r="BD74" s="46">
        <f>ZZZ__FnCalls!A57</f>
        <v>41699</v>
      </c>
      <c r="BE74" s="46">
        <f>ZZZ__FnCalls!A58</f>
        <v>41730</v>
      </c>
      <c r="BF74" s="46">
        <f>ZZZ__FnCalls!A59</f>
        <v>41760</v>
      </c>
      <c r="BG74" s="46">
        <f>ZZZ__FnCalls!A60</f>
        <v>41791</v>
      </c>
      <c r="BH74" s="46">
        <f>ZZZ__FnCalls!A61</f>
        <v>41821</v>
      </c>
      <c r="BI74" s="46">
        <f>ZZZ__FnCalls!A62</f>
        <v>41852</v>
      </c>
      <c r="BJ74" s="46">
        <f>ZZZ__FnCalls!A63</f>
        <v>41883</v>
      </c>
      <c r="BK74" s="46">
        <f>ZZZ__FnCalls!A64</f>
        <v>41913</v>
      </c>
      <c r="BL74" s="46">
        <f>ZZZ__FnCalls!A65</f>
        <v>41944</v>
      </c>
      <c r="BM74" s="46">
        <f>ZZZ__FnCalls!A66</f>
        <v>41974</v>
      </c>
      <c r="BN74" s="47">
        <f>ZZZ__FnCalls!A55</f>
        <v>41640</v>
      </c>
      <c r="BO74" s="46">
        <f>ZZZ__FnCalls!A67</f>
        <v>42005</v>
      </c>
      <c r="BP74" s="46">
        <f>ZZZ__FnCalls!A68</f>
        <v>42036</v>
      </c>
      <c r="BQ74" s="46">
        <f>ZZZ__FnCalls!A69</f>
        <v>42064</v>
      </c>
      <c r="BR74" s="46">
        <f>ZZZ__FnCalls!A70</f>
        <v>42095</v>
      </c>
      <c r="BS74" s="46">
        <f>ZZZ__FnCalls!A71</f>
        <v>42125</v>
      </c>
      <c r="BT74" s="46">
        <f>ZZZ__FnCalls!A72</f>
        <v>42156</v>
      </c>
      <c r="BU74" s="46">
        <f>ZZZ__FnCalls!A73</f>
        <v>42186</v>
      </c>
      <c r="BV74" s="46">
        <f>ZZZ__FnCalls!A74</f>
        <v>42217</v>
      </c>
      <c r="BW74" s="46">
        <f>ZZZ__FnCalls!A75</f>
        <v>42248</v>
      </c>
      <c r="BX74" s="46">
        <f>ZZZ__FnCalls!A76</f>
        <v>42278</v>
      </c>
      <c r="BY74" s="46">
        <f>ZZZ__FnCalls!A77</f>
        <v>42309</v>
      </c>
      <c r="BZ74" s="46">
        <f>ZZZ__FnCalls!A78</f>
        <v>42339</v>
      </c>
      <c r="CA74" s="47">
        <f>ZZZ__FnCalls!A67</f>
        <v>42005</v>
      </c>
      <c r="CB74" s="46">
        <f>ZZZ__FnCalls!A79</f>
        <v>42370</v>
      </c>
      <c r="CC74" s="46">
        <f>ZZZ__FnCalls!A80</f>
        <v>42401</v>
      </c>
      <c r="CD74" s="46">
        <f>ZZZ__FnCalls!A81</f>
        <v>42430</v>
      </c>
      <c r="CE74" s="46">
        <f>ZZZ__FnCalls!A82</f>
        <v>42461</v>
      </c>
      <c r="CF74" s="46">
        <f>ZZZ__FnCalls!A83</f>
        <v>42491</v>
      </c>
      <c r="CG74" s="46">
        <f>ZZZ__FnCalls!A84</f>
        <v>42522</v>
      </c>
      <c r="CH74" s="46">
        <f>ZZZ__FnCalls!A85</f>
        <v>42552</v>
      </c>
      <c r="CI74" s="46">
        <f>ZZZ__FnCalls!A86</f>
        <v>42583</v>
      </c>
      <c r="CJ74" s="46">
        <f>ZZZ__FnCalls!A87</f>
        <v>42614</v>
      </c>
      <c r="CK74" s="46">
        <f>ZZZ__FnCalls!A88</f>
        <v>42644</v>
      </c>
      <c r="CL74" s="46">
        <f>ZZZ__FnCalls!A89</f>
        <v>42675</v>
      </c>
      <c r="CM74" s="46">
        <f>ZZZ__FnCalls!A90</f>
        <v>42705</v>
      </c>
      <c r="CN74" s="47">
        <f>ZZZ__FnCalls!A79</f>
        <v>42370</v>
      </c>
      <c r="CO74" s="46">
        <f>ZZZ__FnCalls!A91</f>
        <v>42736</v>
      </c>
      <c r="CP74" s="46">
        <f>ZZZ__FnCalls!A92</f>
        <v>42767</v>
      </c>
      <c r="CQ74" s="46">
        <f>ZZZ__FnCalls!A93</f>
        <v>42795</v>
      </c>
      <c r="CR74" s="46">
        <f>ZZZ__FnCalls!A94</f>
        <v>42826</v>
      </c>
      <c r="CS74" s="46">
        <f>ZZZ__FnCalls!A95</f>
        <v>42856</v>
      </c>
      <c r="CT74" s="46">
        <f>ZZZ__FnCalls!A96</f>
        <v>42887</v>
      </c>
      <c r="CU74" s="46">
        <f>ZZZ__FnCalls!A97</f>
        <v>42917</v>
      </c>
      <c r="CV74" s="46">
        <f>ZZZ__FnCalls!A98</f>
        <v>42948</v>
      </c>
      <c r="CW74" s="46">
        <f>ZZZ__FnCalls!A99</f>
        <v>42979</v>
      </c>
      <c r="CX74" s="46">
        <f>ZZZ__FnCalls!A100</f>
        <v>43009</v>
      </c>
      <c r="CY74" s="46">
        <f>ZZZ__FnCalls!A101</f>
        <v>43040</v>
      </c>
      <c r="CZ74" s="46">
        <f>ZZZ__FnCalls!A102</f>
        <v>43070</v>
      </c>
      <c r="DA74" s="47">
        <f>ZZZ__FnCalls!A91</f>
        <v>42736</v>
      </c>
      <c r="DB74" s="46">
        <f>ZZZ__FnCalls!A103</f>
        <v>43101</v>
      </c>
      <c r="DC74" s="46">
        <f>ZZZ__FnCalls!A104</f>
        <v>43132</v>
      </c>
      <c r="DD74" s="46">
        <f>ZZZ__FnCalls!A105</f>
        <v>43160</v>
      </c>
      <c r="DE74" s="46">
        <f>ZZZ__FnCalls!A106</f>
        <v>43191</v>
      </c>
      <c r="DF74" s="46">
        <f>ZZZ__FnCalls!A107</f>
        <v>43221</v>
      </c>
      <c r="DG74" s="46">
        <f>ZZZ__FnCalls!A108</f>
        <v>43252</v>
      </c>
      <c r="DH74" s="46">
        <f>ZZZ__FnCalls!A109</f>
        <v>43282</v>
      </c>
      <c r="DI74" s="46">
        <f>ZZZ__FnCalls!A110</f>
        <v>43313</v>
      </c>
      <c r="DJ74" s="46">
        <f>ZZZ__FnCalls!A111</f>
        <v>43344</v>
      </c>
      <c r="DK74" s="46">
        <f>ZZZ__FnCalls!A112</f>
        <v>43374</v>
      </c>
      <c r="DL74" s="46">
        <f>ZZZ__FnCalls!A113</f>
        <v>43405</v>
      </c>
      <c r="DM74" s="46">
        <f>ZZZ__FnCalls!A114</f>
        <v>43435</v>
      </c>
      <c r="DN74" s="47">
        <f>ZZZ__FnCalls!A103</f>
        <v>43101</v>
      </c>
      <c r="DO74" s="46">
        <f>ZZZ__FnCalls!A115</f>
        <v>43466</v>
      </c>
      <c r="DP74" s="46">
        <f>ZZZ__FnCalls!A116</f>
        <v>43497</v>
      </c>
      <c r="DQ74" s="46">
        <f>ZZZ__FnCalls!A117</f>
        <v>43525</v>
      </c>
      <c r="DR74" s="46">
        <f>ZZZ__FnCalls!A118</f>
        <v>43556</v>
      </c>
      <c r="DS74" s="46">
        <f>ZZZ__FnCalls!A119</f>
        <v>43586</v>
      </c>
      <c r="DT74" s="46">
        <f>ZZZ__FnCalls!A120</f>
        <v>43617</v>
      </c>
      <c r="DU74" s="46">
        <f>ZZZ__FnCalls!A121</f>
        <v>43647</v>
      </c>
      <c r="DV74" s="46">
        <f>ZZZ__FnCalls!A122</f>
        <v>43678</v>
      </c>
      <c r="DW74" s="46">
        <f>ZZZ__FnCalls!A123</f>
        <v>43709</v>
      </c>
      <c r="DX74" s="46">
        <f>ZZZ__FnCalls!A124</f>
        <v>43739</v>
      </c>
      <c r="DY74" s="46">
        <f>ZZZ__FnCalls!A125</f>
        <v>43770</v>
      </c>
      <c r="DZ74" s="46">
        <f>ZZZ__FnCalls!A126</f>
        <v>43800</v>
      </c>
      <c r="EA74" s="47">
        <f>ZZZ__FnCalls!A115</f>
        <v>43466</v>
      </c>
      <c r="EB74" s="46">
        <f>ZZZ__FnCalls!A127</f>
        <v>43831</v>
      </c>
      <c r="EC74" s="46">
        <f>ZZZ__FnCalls!A128</f>
        <v>43862</v>
      </c>
      <c r="ED74" s="46">
        <f>ZZZ__FnCalls!A129</f>
        <v>43891</v>
      </c>
      <c r="EE74" s="46">
        <f>ZZZ__FnCalls!A130</f>
        <v>43922</v>
      </c>
      <c r="EF74" s="46">
        <f>ZZZ__FnCalls!A131</f>
        <v>43952</v>
      </c>
      <c r="EG74" s="46">
        <f>ZZZ__FnCalls!A132</f>
        <v>43983</v>
      </c>
      <c r="EH74" s="46">
        <f>ZZZ__FnCalls!A133</f>
        <v>44013</v>
      </c>
      <c r="EI74" s="46">
        <f>ZZZ__FnCalls!A134</f>
        <v>44044</v>
      </c>
      <c r="EJ74" s="46">
        <f>ZZZ__FnCalls!A135</f>
        <v>44075</v>
      </c>
      <c r="EK74" s="46">
        <f>ZZZ__FnCalls!A136</f>
        <v>44105</v>
      </c>
      <c r="EL74" s="46">
        <f>ZZZ__FnCalls!A137</f>
        <v>44136</v>
      </c>
      <c r="EM74" s="46">
        <f>ZZZ__FnCalls!A138</f>
        <v>44166</v>
      </c>
      <c r="EN74" s="47">
        <f>ZZZ__FnCalls!A127</f>
        <v>43831</v>
      </c>
    </row>
    <row r="75" spans="1:144" ht="12.75" customHeight="1" x14ac:dyDescent="0.2">
      <c r="A75" s="2" t="str">
        <f>"Capital_Desired_2"</f>
        <v>Capital_Desired_2</v>
      </c>
    </row>
    <row r="76" spans="1:144" ht="12.75" customHeight="1" x14ac:dyDescent="0.2">
      <c r="B76" s="19" t="str">
        <f>ZZZ__FnCalls!F7</f>
        <v>MMM 2010</v>
      </c>
      <c r="C76" s="20" t="str">
        <f>ZZZ__FnCalls!F8</f>
        <v>MMM 2010</v>
      </c>
      <c r="D76" s="20" t="str">
        <f>ZZZ__FnCalls!F9</f>
        <v>MMM 2010</v>
      </c>
      <c r="E76" s="20" t="str">
        <f>ZZZ__FnCalls!F10</f>
        <v>MMM 2010</v>
      </c>
      <c r="F76" s="20" t="str">
        <f>ZZZ__FnCalls!F11</f>
        <v>MMM 2010</v>
      </c>
      <c r="G76" s="20" t="str">
        <f>ZZZ__FnCalls!F12</f>
        <v>MMM 2010</v>
      </c>
      <c r="H76" s="20" t="str">
        <f>ZZZ__FnCalls!F13</f>
        <v>MMM 2010</v>
      </c>
      <c r="I76" s="20" t="str">
        <f>ZZZ__FnCalls!F14</f>
        <v>MMM 2010</v>
      </c>
      <c r="J76" s="20" t="str">
        <f>ZZZ__FnCalls!F15</f>
        <v>MMM 2010</v>
      </c>
      <c r="K76" s="20" t="str">
        <f>ZZZ__FnCalls!F16</f>
        <v>MMM 2010</v>
      </c>
      <c r="L76" s="20" t="str">
        <f>ZZZ__FnCalls!F17</f>
        <v>MMM 2010</v>
      </c>
      <c r="M76" s="20" t="str">
        <f>ZZZ__FnCalls!F18</f>
        <v>MMM 2010</v>
      </c>
      <c r="N76" s="21" t="str">
        <f>ZZZ__FnCalls!H7</f>
        <v>2010</v>
      </c>
      <c r="O76" s="20" t="str">
        <f>ZZZ__FnCalls!F19</f>
        <v>MMM 2011</v>
      </c>
      <c r="P76" s="20" t="str">
        <f>ZZZ__FnCalls!F20</f>
        <v>MMM 2011</v>
      </c>
      <c r="Q76" s="20" t="str">
        <f>ZZZ__FnCalls!F21</f>
        <v>MMM 2011</v>
      </c>
      <c r="R76" s="20" t="str">
        <f>ZZZ__FnCalls!F22</f>
        <v>MMM 2011</v>
      </c>
      <c r="S76" s="20" t="str">
        <f>ZZZ__FnCalls!F23</f>
        <v>MMM 2011</v>
      </c>
      <c r="T76" s="20" t="str">
        <f>ZZZ__FnCalls!F24</f>
        <v>MMM 2011</v>
      </c>
      <c r="U76" s="20" t="str">
        <f>ZZZ__FnCalls!F25</f>
        <v>MMM 2011</v>
      </c>
      <c r="V76" s="20" t="str">
        <f>ZZZ__FnCalls!F26</f>
        <v>MMM 2011</v>
      </c>
      <c r="W76" s="20" t="str">
        <f>ZZZ__FnCalls!F27</f>
        <v>MMM 2011</v>
      </c>
      <c r="X76" s="20" t="str">
        <f>ZZZ__FnCalls!F28</f>
        <v>MMM 2011</v>
      </c>
      <c r="Y76" s="20" t="str">
        <f>ZZZ__FnCalls!F29</f>
        <v>MMM 2011</v>
      </c>
      <c r="Z76" s="20" t="str">
        <f>ZZZ__FnCalls!F30</f>
        <v>MMM 2011</v>
      </c>
      <c r="AA76" s="21" t="str">
        <f>ZZZ__FnCalls!H19</f>
        <v>2011</v>
      </c>
      <c r="AB76" s="20" t="str">
        <f>ZZZ__FnCalls!F31</f>
        <v>MMM 2012</v>
      </c>
      <c r="AC76" s="20" t="str">
        <f>ZZZ__FnCalls!F32</f>
        <v>MMM 2012</v>
      </c>
      <c r="AD76" s="20" t="str">
        <f>ZZZ__FnCalls!F33</f>
        <v>MMM 2012</v>
      </c>
      <c r="AE76" s="20" t="str">
        <f>ZZZ__FnCalls!F34</f>
        <v>MMM 2012</v>
      </c>
      <c r="AF76" s="20" t="str">
        <f>ZZZ__FnCalls!F35</f>
        <v>MMM 2012</v>
      </c>
      <c r="AG76" s="20" t="str">
        <f>ZZZ__FnCalls!F36</f>
        <v>MMM 2012</v>
      </c>
      <c r="AH76" s="20" t="str">
        <f>ZZZ__FnCalls!F37</f>
        <v>MMM 2012</v>
      </c>
      <c r="AI76" s="20" t="str">
        <f>ZZZ__FnCalls!F38</f>
        <v>MMM 2012</v>
      </c>
      <c r="AJ76" s="20" t="str">
        <f>ZZZ__FnCalls!F39</f>
        <v>MMM 2012</v>
      </c>
      <c r="AK76" s="20" t="str">
        <f>ZZZ__FnCalls!F40</f>
        <v>MMM 2012</v>
      </c>
      <c r="AL76" s="20" t="str">
        <f>ZZZ__FnCalls!F41</f>
        <v>MMM 2012</v>
      </c>
      <c r="AM76" s="20" t="str">
        <f>ZZZ__FnCalls!F42</f>
        <v>MMM 2012</v>
      </c>
      <c r="AN76" s="21" t="str">
        <f>ZZZ__FnCalls!H31</f>
        <v>2012</v>
      </c>
      <c r="AO76" s="20" t="str">
        <f>ZZZ__FnCalls!F43</f>
        <v>MMM 2013</v>
      </c>
      <c r="AP76" s="20" t="str">
        <f>ZZZ__FnCalls!F44</f>
        <v>MMM 2013</v>
      </c>
      <c r="AQ76" s="20" t="str">
        <f>ZZZ__FnCalls!F45</f>
        <v>MMM 2013</v>
      </c>
      <c r="AR76" s="20" t="str">
        <f>ZZZ__FnCalls!F46</f>
        <v>MMM 2013</v>
      </c>
      <c r="AS76" s="20" t="str">
        <f>ZZZ__FnCalls!F47</f>
        <v>MMM 2013</v>
      </c>
      <c r="AT76" s="20" t="str">
        <f>ZZZ__FnCalls!F48</f>
        <v>MMM 2013</v>
      </c>
      <c r="AU76" s="20" t="str">
        <f>ZZZ__FnCalls!F49</f>
        <v>MMM 2013</v>
      </c>
      <c r="AV76" s="20" t="str">
        <f>ZZZ__FnCalls!F50</f>
        <v>MMM 2013</v>
      </c>
      <c r="AW76" s="20" t="str">
        <f>ZZZ__FnCalls!F51</f>
        <v>MMM 2013</v>
      </c>
      <c r="AX76" s="20" t="str">
        <f>ZZZ__FnCalls!F52</f>
        <v>MMM 2013</v>
      </c>
      <c r="AY76" s="20" t="str">
        <f>ZZZ__FnCalls!F53</f>
        <v>MMM 2013</v>
      </c>
      <c r="AZ76" s="20" t="str">
        <f>ZZZ__FnCalls!F54</f>
        <v>MMM 2013</v>
      </c>
      <c r="BA76" s="21" t="str">
        <f>ZZZ__FnCalls!H43</f>
        <v>2013</v>
      </c>
      <c r="BB76" s="20" t="str">
        <f>ZZZ__FnCalls!F55</f>
        <v>MMM 2014</v>
      </c>
      <c r="BC76" s="20" t="str">
        <f>ZZZ__FnCalls!F56</f>
        <v>MMM 2014</v>
      </c>
      <c r="BD76" s="20" t="str">
        <f>ZZZ__FnCalls!F57</f>
        <v>MMM 2014</v>
      </c>
      <c r="BE76" s="20" t="str">
        <f>ZZZ__FnCalls!F58</f>
        <v>MMM 2014</v>
      </c>
      <c r="BF76" s="20" t="str">
        <f>ZZZ__FnCalls!F59</f>
        <v>MMM 2014</v>
      </c>
      <c r="BG76" s="20" t="str">
        <f>ZZZ__FnCalls!F60</f>
        <v>MMM 2014</v>
      </c>
      <c r="BH76" s="20" t="str">
        <f>ZZZ__FnCalls!F61</f>
        <v>MMM 2014</v>
      </c>
      <c r="BI76" s="20" t="str">
        <f>ZZZ__FnCalls!F62</f>
        <v>MMM 2014</v>
      </c>
      <c r="BJ76" s="20" t="str">
        <f>ZZZ__FnCalls!F63</f>
        <v>MMM 2014</v>
      </c>
      <c r="BK76" s="20" t="str">
        <f>ZZZ__FnCalls!F64</f>
        <v>MMM 2014</v>
      </c>
      <c r="BL76" s="20" t="str">
        <f>ZZZ__FnCalls!F65</f>
        <v>MMM 2014</v>
      </c>
      <c r="BM76" s="20" t="str">
        <f>ZZZ__FnCalls!F66</f>
        <v>MMM 2014</v>
      </c>
      <c r="BN76" s="21" t="str">
        <f>ZZZ__FnCalls!H55</f>
        <v>2014</v>
      </c>
      <c r="BO76" s="20" t="str">
        <f>ZZZ__FnCalls!F67</f>
        <v>MMM 2015</v>
      </c>
      <c r="BP76" s="20" t="str">
        <f>ZZZ__FnCalls!F68</f>
        <v>MMM 2015</v>
      </c>
      <c r="BQ76" s="20" t="str">
        <f>ZZZ__FnCalls!F69</f>
        <v>MMM 2015</v>
      </c>
      <c r="BR76" s="20" t="str">
        <f>ZZZ__FnCalls!F70</f>
        <v>MMM 2015</v>
      </c>
      <c r="BS76" s="20" t="str">
        <f>ZZZ__FnCalls!F71</f>
        <v>MMM 2015</v>
      </c>
      <c r="BT76" s="20" t="str">
        <f>ZZZ__FnCalls!F72</f>
        <v>MMM 2015</v>
      </c>
      <c r="BU76" s="20" t="str">
        <f>ZZZ__FnCalls!F73</f>
        <v>MMM 2015</v>
      </c>
      <c r="BV76" s="20" t="str">
        <f>ZZZ__FnCalls!F74</f>
        <v>MMM 2015</v>
      </c>
      <c r="BW76" s="20" t="str">
        <f>ZZZ__FnCalls!F75</f>
        <v>MMM 2015</v>
      </c>
      <c r="BX76" s="20" t="str">
        <f>ZZZ__FnCalls!F76</f>
        <v>MMM 2015</v>
      </c>
      <c r="BY76" s="20" t="str">
        <f>ZZZ__FnCalls!F77</f>
        <v>MMM 2015</v>
      </c>
      <c r="BZ76" s="20" t="str">
        <f>ZZZ__FnCalls!F78</f>
        <v>MMM 2015</v>
      </c>
      <c r="CA76" s="21" t="str">
        <f>ZZZ__FnCalls!H67</f>
        <v>2015</v>
      </c>
      <c r="CB76" s="20" t="str">
        <f>ZZZ__FnCalls!F79</f>
        <v>MMM 2016</v>
      </c>
      <c r="CC76" s="20" t="str">
        <f>ZZZ__FnCalls!F80</f>
        <v>MMM 2016</v>
      </c>
      <c r="CD76" s="20" t="str">
        <f>ZZZ__FnCalls!F81</f>
        <v>MMM 2016</v>
      </c>
      <c r="CE76" s="20" t="str">
        <f>ZZZ__FnCalls!F82</f>
        <v>MMM 2016</v>
      </c>
      <c r="CF76" s="20" t="str">
        <f>ZZZ__FnCalls!F83</f>
        <v>MMM 2016</v>
      </c>
      <c r="CG76" s="20" t="str">
        <f>ZZZ__FnCalls!F84</f>
        <v>MMM 2016</v>
      </c>
      <c r="CH76" s="20" t="str">
        <f>ZZZ__FnCalls!F85</f>
        <v>MMM 2016</v>
      </c>
      <c r="CI76" s="20" t="str">
        <f>ZZZ__FnCalls!F86</f>
        <v>MMM 2016</v>
      </c>
      <c r="CJ76" s="20" t="str">
        <f>ZZZ__FnCalls!F87</f>
        <v>MMM 2016</v>
      </c>
      <c r="CK76" s="20" t="str">
        <f>ZZZ__FnCalls!F88</f>
        <v>MMM 2016</v>
      </c>
      <c r="CL76" s="20" t="str">
        <f>ZZZ__FnCalls!F89</f>
        <v>MMM 2016</v>
      </c>
      <c r="CM76" s="20" t="str">
        <f>ZZZ__FnCalls!F90</f>
        <v>MMM 2016</v>
      </c>
      <c r="CN76" s="21" t="str">
        <f>ZZZ__FnCalls!H79</f>
        <v>2016</v>
      </c>
      <c r="CO76" s="20" t="str">
        <f>ZZZ__FnCalls!F91</f>
        <v>MMM 2017</v>
      </c>
      <c r="CP76" s="20" t="str">
        <f>ZZZ__FnCalls!F92</f>
        <v>MMM 2017</v>
      </c>
      <c r="CQ76" s="20" t="str">
        <f>ZZZ__FnCalls!F93</f>
        <v>MMM 2017</v>
      </c>
      <c r="CR76" s="20" t="str">
        <f>ZZZ__FnCalls!F94</f>
        <v>MMM 2017</v>
      </c>
      <c r="CS76" s="20" t="str">
        <f>ZZZ__FnCalls!F95</f>
        <v>MMM 2017</v>
      </c>
      <c r="CT76" s="20" t="str">
        <f>ZZZ__FnCalls!F96</f>
        <v>MMM 2017</v>
      </c>
      <c r="CU76" s="20" t="str">
        <f>ZZZ__FnCalls!F97</f>
        <v>MMM 2017</v>
      </c>
      <c r="CV76" s="20" t="str">
        <f>ZZZ__FnCalls!F98</f>
        <v>MMM 2017</v>
      </c>
      <c r="CW76" s="20" t="str">
        <f>ZZZ__FnCalls!F99</f>
        <v>MMM 2017</v>
      </c>
      <c r="CX76" s="20" t="str">
        <f>ZZZ__FnCalls!F100</f>
        <v>MMM 2017</v>
      </c>
      <c r="CY76" s="20" t="str">
        <f>ZZZ__FnCalls!F101</f>
        <v>MMM 2017</v>
      </c>
      <c r="CZ76" s="20" t="str">
        <f>ZZZ__FnCalls!F102</f>
        <v>MMM 2017</v>
      </c>
      <c r="DA76" s="21" t="str">
        <f>ZZZ__FnCalls!H91</f>
        <v>2017</v>
      </c>
      <c r="DB76" s="20" t="str">
        <f>ZZZ__FnCalls!F103</f>
        <v>MMM 2018</v>
      </c>
      <c r="DC76" s="20" t="str">
        <f>ZZZ__FnCalls!F104</f>
        <v>MMM 2018</v>
      </c>
      <c r="DD76" s="20" t="str">
        <f>ZZZ__FnCalls!F105</f>
        <v>MMM 2018</v>
      </c>
      <c r="DE76" s="20" t="str">
        <f>ZZZ__FnCalls!F106</f>
        <v>MMM 2018</v>
      </c>
      <c r="DF76" s="20" t="str">
        <f>ZZZ__FnCalls!F107</f>
        <v>MMM 2018</v>
      </c>
      <c r="DG76" s="20" t="str">
        <f>ZZZ__FnCalls!F108</f>
        <v>MMM 2018</v>
      </c>
      <c r="DH76" s="20" t="str">
        <f>ZZZ__FnCalls!F109</f>
        <v>MMM 2018</v>
      </c>
      <c r="DI76" s="20" t="str">
        <f>ZZZ__FnCalls!F110</f>
        <v>MMM 2018</v>
      </c>
      <c r="DJ76" s="20" t="str">
        <f>ZZZ__FnCalls!F111</f>
        <v>MMM 2018</v>
      </c>
      <c r="DK76" s="20" t="str">
        <f>ZZZ__FnCalls!F112</f>
        <v>MMM 2018</v>
      </c>
      <c r="DL76" s="20" t="str">
        <f>ZZZ__FnCalls!F113</f>
        <v>MMM 2018</v>
      </c>
      <c r="DM76" s="20" t="str">
        <f>ZZZ__FnCalls!F114</f>
        <v>MMM 2018</v>
      </c>
      <c r="DN76" s="21" t="str">
        <f>ZZZ__FnCalls!H103</f>
        <v>2018</v>
      </c>
      <c r="DO76" s="20" t="str">
        <f>ZZZ__FnCalls!F115</f>
        <v>MMM 2019</v>
      </c>
      <c r="DP76" s="20" t="str">
        <f>ZZZ__FnCalls!F116</f>
        <v>MMM 2019</v>
      </c>
      <c r="DQ76" s="20" t="str">
        <f>ZZZ__FnCalls!F117</f>
        <v>MMM 2019</v>
      </c>
      <c r="DR76" s="20" t="str">
        <f>ZZZ__FnCalls!F118</f>
        <v>MMM 2019</v>
      </c>
      <c r="DS76" s="20" t="str">
        <f>ZZZ__FnCalls!F119</f>
        <v>MMM 2019</v>
      </c>
      <c r="DT76" s="20" t="str">
        <f>ZZZ__FnCalls!F120</f>
        <v>MMM 2019</v>
      </c>
      <c r="DU76" s="20" t="str">
        <f>ZZZ__FnCalls!F121</f>
        <v>MMM 2019</v>
      </c>
      <c r="DV76" s="20" t="str">
        <f>ZZZ__FnCalls!F122</f>
        <v>MMM 2019</v>
      </c>
      <c r="DW76" s="20" t="str">
        <f>ZZZ__FnCalls!F123</f>
        <v>MMM 2019</v>
      </c>
      <c r="DX76" s="20" t="str">
        <f>ZZZ__FnCalls!F124</f>
        <v>MMM 2019</v>
      </c>
      <c r="DY76" s="20" t="str">
        <f>ZZZ__FnCalls!F125</f>
        <v>MMM 2019</v>
      </c>
      <c r="DZ76" s="20" t="str">
        <f>ZZZ__FnCalls!F126</f>
        <v>MMM 2019</v>
      </c>
      <c r="EA76" s="21" t="str">
        <f>ZZZ__FnCalls!H115</f>
        <v>2019</v>
      </c>
      <c r="EB76" s="20" t="str">
        <f>ZZZ__FnCalls!F127</f>
        <v>MMM 2020</v>
      </c>
      <c r="EC76" s="20" t="str">
        <f>ZZZ__FnCalls!F128</f>
        <v>MMM 2020</v>
      </c>
      <c r="ED76" s="20" t="str">
        <f>ZZZ__FnCalls!F129</f>
        <v>MMM 2020</v>
      </c>
      <c r="EE76" s="20" t="str">
        <f>ZZZ__FnCalls!F130</f>
        <v>MMM 2020</v>
      </c>
      <c r="EF76" s="20" t="str">
        <f>ZZZ__FnCalls!F131</f>
        <v>MMM 2020</v>
      </c>
      <c r="EG76" s="20" t="str">
        <f>ZZZ__FnCalls!F132</f>
        <v>MMM 2020</v>
      </c>
      <c r="EH76" s="20" t="str">
        <f>ZZZ__FnCalls!F133</f>
        <v>MMM 2020</v>
      </c>
      <c r="EI76" s="20" t="str">
        <f>ZZZ__FnCalls!F134</f>
        <v>MMM 2020</v>
      </c>
      <c r="EJ76" s="20" t="str">
        <f>ZZZ__FnCalls!F135</f>
        <v>MMM 2020</v>
      </c>
      <c r="EK76" s="20" t="str">
        <f>ZZZ__FnCalls!F136</f>
        <v>MMM 2020</v>
      </c>
      <c r="EL76" s="20" t="str">
        <f>ZZZ__FnCalls!F137</f>
        <v>MMM 2020</v>
      </c>
      <c r="EM76" s="20" t="str">
        <f>ZZZ__FnCalls!F138</f>
        <v>MMM 2020</v>
      </c>
      <c r="EN76" s="21" t="str">
        <f>ZZZ__FnCalls!H127</f>
        <v>2020</v>
      </c>
    </row>
    <row r="77" spans="1:144" ht="12.75" customHeight="1" x14ac:dyDescent="0.2">
      <c r="A77" s="5"/>
      <c r="B77" s="46" t="str">
        <f>ZZZ__FnCalls!F7</f>
        <v>MMM 2010</v>
      </c>
      <c r="C77" s="46" t="str">
        <f>ZZZ__FnCalls!F8</f>
        <v>MMM 2010</v>
      </c>
      <c r="D77" s="46" t="str">
        <f>ZZZ__FnCalls!F9</f>
        <v>MMM 2010</v>
      </c>
      <c r="E77" s="46" t="str">
        <f>ZZZ__FnCalls!F10</f>
        <v>MMM 2010</v>
      </c>
      <c r="F77" s="46" t="str">
        <f>ZZZ__FnCalls!F11</f>
        <v>MMM 2010</v>
      </c>
      <c r="G77" s="46" t="str">
        <f>ZZZ__FnCalls!F12</f>
        <v>MMM 2010</v>
      </c>
      <c r="H77" s="46" t="str">
        <f>ZZZ__FnCalls!F13</f>
        <v>MMM 2010</v>
      </c>
      <c r="I77" s="46" t="str">
        <f>ZZZ__FnCalls!F14</f>
        <v>MMM 2010</v>
      </c>
      <c r="J77" s="46" t="str">
        <f>ZZZ__FnCalls!F15</f>
        <v>MMM 2010</v>
      </c>
      <c r="K77" s="46" t="str">
        <f>ZZZ__FnCalls!F16</f>
        <v>MMM 2010</v>
      </c>
      <c r="L77" s="46" t="str">
        <f>ZZZ__FnCalls!F17</f>
        <v>MMM 2010</v>
      </c>
      <c r="M77" s="46" t="str">
        <f>ZZZ__FnCalls!F18</f>
        <v>MMM 2010</v>
      </c>
      <c r="N77" s="47" t="str">
        <f>ZZZ__FnCalls!F7</f>
        <v>MMM 2010</v>
      </c>
      <c r="O77" s="46" t="str">
        <f>ZZZ__FnCalls!F19</f>
        <v>MMM 2011</v>
      </c>
      <c r="P77" s="46" t="str">
        <f>ZZZ__FnCalls!F20</f>
        <v>MMM 2011</v>
      </c>
      <c r="Q77" s="46" t="str">
        <f>ZZZ__FnCalls!F21</f>
        <v>MMM 2011</v>
      </c>
      <c r="R77" s="46" t="str">
        <f>ZZZ__FnCalls!F22</f>
        <v>MMM 2011</v>
      </c>
      <c r="S77" s="46" t="str">
        <f>ZZZ__FnCalls!F23</f>
        <v>MMM 2011</v>
      </c>
      <c r="T77" s="46" t="str">
        <f>ZZZ__FnCalls!F24</f>
        <v>MMM 2011</v>
      </c>
      <c r="U77" s="46" t="str">
        <f>ZZZ__FnCalls!F25</f>
        <v>MMM 2011</v>
      </c>
      <c r="V77" s="46" t="str">
        <f>ZZZ__FnCalls!F26</f>
        <v>MMM 2011</v>
      </c>
      <c r="W77" s="46" t="str">
        <f>ZZZ__FnCalls!F27</f>
        <v>MMM 2011</v>
      </c>
      <c r="X77" s="46" t="str">
        <f>ZZZ__FnCalls!F28</f>
        <v>MMM 2011</v>
      </c>
      <c r="Y77" s="46" t="str">
        <f>ZZZ__FnCalls!F29</f>
        <v>MMM 2011</v>
      </c>
      <c r="Z77" s="46" t="str">
        <f>ZZZ__FnCalls!F30</f>
        <v>MMM 2011</v>
      </c>
      <c r="AA77" s="47" t="str">
        <f>ZZZ__FnCalls!F19</f>
        <v>MMM 2011</v>
      </c>
      <c r="AB77" s="46" t="str">
        <f>ZZZ__FnCalls!F31</f>
        <v>MMM 2012</v>
      </c>
      <c r="AC77" s="46" t="str">
        <f>ZZZ__FnCalls!F32</f>
        <v>MMM 2012</v>
      </c>
      <c r="AD77" s="46" t="str">
        <f>ZZZ__FnCalls!F33</f>
        <v>MMM 2012</v>
      </c>
      <c r="AE77" s="46" t="str">
        <f>ZZZ__FnCalls!F34</f>
        <v>MMM 2012</v>
      </c>
      <c r="AF77" s="46" t="str">
        <f>ZZZ__FnCalls!F35</f>
        <v>MMM 2012</v>
      </c>
      <c r="AG77" s="46" t="str">
        <f>ZZZ__FnCalls!F36</f>
        <v>MMM 2012</v>
      </c>
      <c r="AH77" s="46" t="str">
        <f>ZZZ__FnCalls!F37</f>
        <v>MMM 2012</v>
      </c>
      <c r="AI77" s="46" t="str">
        <f>ZZZ__FnCalls!F38</f>
        <v>MMM 2012</v>
      </c>
      <c r="AJ77" s="46" t="str">
        <f>ZZZ__FnCalls!F39</f>
        <v>MMM 2012</v>
      </c>
      <c r="AK77" s="46" t="str">
        <f>ZZZ__FnCalls!F40</f>
        <v>MMM 2012</v>
      </c>
      <c r="AL77" s="46" t="str">
        <f>ZZZ__FnCalls!F41</f>
        <v>MMM 2012</v>
      </c>
      <c r="AM77" s="46" t="str">
        <f>ZZZ__FnCalls!F42</f>
        <v>MMM 2012</v>
      </c>
      <c r="AN77" s="47" t="str">
        <f>ZZZ__FnCalls!F31</f>
        <v>MMM 2012</v>
      </c>
      <c r="AO77" s="46" t="str">
        <f>ZZZ__FnCalls!F43</f>
        <v>MMM 2013</v>
      </c>
      <c r="AP77" s="46" t="str">
        <f>ZZZ__FnCalls!F44</f>
        <v>MMM 2013</v>
      </c>
      <c r="AQ77" s="46" t="str">
        <f>ZZZ__FnCalls!F45</f>
        <v>MMM 2013</v>
      </c>
      <c r="AR77" s="46" t="str">
        <f>ZZZ__FnCalls!F46</f>
        <v>MMM 2013</v>
      </c>
      <c r="AS77" s="46" t="str">
        <f>ZZZ__FnCalls!F47</f>
        <v>MMM 2013</v>
      </c>
      <c r="AT77" s="46" t="str">
        <f>ZZZ__FnCalls!F48</f>
        <v>MMM 2013</v>
      </c>
      <c r="AU77" s="46" t="str">
        <f>ZZZ__FnCalls!F49</f>
        <v>MMM 2013</v>
      </c>
      <c r="AV77" s="46" t="str">
        <f>ZZZ__FnCalls!F50</f>
        <v>MMM 2013</v>
      </c>
      <c r="AW77" s="46" t="str">
        <f>ZZZ__FnCalls!F51</f>
        <v>MMM 2013</v>
      </c>
      <c r="AX77" s="46" t="str">
        <f>ZZZ__FnCalls!F52</f>
        <v>MMM 2013</v>
      </c>
      <c r="AY77" s="46" t="str">
        <f>ZZZ__FnCalls!F53</f>
        <v>MMM 2013</v>
      </c>
      <c r="AZ77" s="46" t="str">
        <f>ZZZ__FnCalls!F54</f>
        <v>MMM 2013</v>
      </c>
      <c r="BA77" s="47" t="str">
        <f>ZZZ__FnCalls!F43</f>
        <v>MMM 2013</v>
      </c>
      <c r="BB77" s="46" t="str">
        <f>ZZZ__FnCalls!F55</f>
        <v>MMM 2014</v>
      </c>
      <c r="BC77" s="46" t="str">
        <f>ZZZ__FnCalls!F56</f>
        <v>MMM 2014</v>
      </c>
      <c r="BD77" s="46" t="str">
        <f>ZZZ__FnCalls!F57</f>
        <v>MMM 2014</v>
      </c>
      <c r="BE77" s="46" t="str">
        <f>ZZZ__FnCalls!F58</f>
        <v>MMM 2014</v>
      </c>
      <c r="BF77" s="46" t="str">
        <f>ZZZ__FnCalls!F59</f>
        <v>MMM 2014</v>
      </c>
      <c r="BG77" s="46" t="str">
        <f>ZZZ__FnCalls!F60</f>
        <v>MMM 2014</v>
      </c>
      <c r="BH77" s="46" t="str">
        <f>ZZZ__FnCalls!F61</f>
        <v>MMM 2014</v>
      </c>
      <c r="BI77" s="46" t="str">
        <f>ZZZ__FnCalls!F62</f>
        <v>MMM 2014</v>
      </c>
      <c r="BJ77" s="46" t="str">
        <f>ZZZ__FnCalls!F63</f>
        <v>MMM 2014</v>
      </c>
      <c r="BK77" s="46" t="str">
        <f>ZZZ__FnCalls!F64</f>
        <v>MMM 2014</v>
      </c>
      <c r="BL77" s="46" t="str">
        <f>ZZZ__FnCalls!F65</f>
        <v>MMM 2014</v>
      </c>
      <c r="BM77" s="46" t="str">
        <f>ZZZ__FnCalls!F66</f>
        <v>MMM 2014</v>
      </c>
      <c r="BN77" s="47" t="str">
        <f>ZZZ__FnCalls!F55</f>
        <v>MMM 2014</v>
      </c>
      <c r="BO77" s="46" t="str">
        <f>ZZZ__FnCalls!F67</f>
        <v>MMM 2015</v>
      </c>
      <c r="BP77" s="46" t="str">
        <f>ZZZ__FnCalls!F68</f>
        <v>MMM 2015</v>
      </c>
      <c r="BQ77" s="46" t="str">
        <f>ZZZ__FnCalls!F69</f>
        <v>MMM 2015</v>
      </c>
      <c r="BR77" s="46" t="str">
        <f>ZZZ__FnCalls!F70</f>
        <v>MMM 2015</v>
      </c>
      <c r="BS77" s="46" t="str">
        <f>ZZZ__FnCalls!F71</f>
        <v>MMM 2015</v>
      </c>
      <c r="BT77" s="46" t="str">
        <f>ZZZ__FnCalls!F72</f>
        <v>MMM 2015</v>
      </c>
      <c r="BU77" s="46" t="str">
        <f>ZZZ__FnCalls!F73</f>
        <v>MMM 2015</v>
      </c>
      <c r="BV77" s="46" t="str">
        <f>ZZZ__FnCalls!F74</f>
        <v>MMM 2015</v>
      </c>
      <c r="BW77" s="46" t="str">
        <f>ZZZ__FnCalls!F75</f>
        <v>MMM 2015</v>
      </c>
      <c r="BX77" s="46" t="str">
        <f>ZZZ__FnCalls!F76</f>
        <v>MMM 2015</v>
      </c>
      <c r="BY77" s="46" t="str">
        <f>ZZZ__FnCalls!F77</f>
        <v>MMM 2015</v>
      </c>
      <c r="BZ77" s="46" t="str">
        <f>ZZZ__FnCalls!F78</f>
        <v>MMM 2015</v>
      </c>
      <c r="CA77" s="47" t="str">
        <f>ZZZ__FnCalls!F67</f>
        <v>MMM 2015</v>
      </c>
      <c r="CB77" s="46" t="str">
        <f>ZZZ__FnCalls!F79</f>
        <v>MMM 2016</v>
      </c>
      <c r="CC77" s="46" t="str">
        <f>ZZZ__FnCalls!F80</f>
        <v>MMM 2016</v>
      </c>
      <c r="CD77" s="46" t="str">
        <f>ZZZ__FnCalls!F81</f>
        <v>MMM 2016</v>
      </c>
      <c r="CE77" s="46" t="str">
        <f>ZZZ__FnCalls!F82</f>
        <v>MMM 2016</v>
      </c>
      <c r="CF77" s="46" t="str">
        <f>ZZZ__FnCalls!F83</f>
        <v>MMM 2016</v>
      </c>
      <c r="CG77" s="46" t="str">
        <f>ZZZ__FnCalls!F84</f>
        <v>MMM 2016</v>
      </c>
      <c r="CH77" s="46" t="str">
        <f>ZZZ__FnCalls!F85</f>
        <v>MMM 2016</v>
      </c>
      <c r="CI77" s="46" t="str">
        <f>ZZZ__FnCalls!F86</f>
        <v>MMM 2016</v>
      </c>
      <c r="CJ77" s="46" t="str">
        <f>ZZZ__FnCalls!F87</f>
        <v>MMM 2016</v>
      </c>
      <c r="CK77" s="46" t="str">
        <f>ZZZ__FnCalls!F88</f>
        <v>MMM 2016</v>
      </c>
      <c r="CL77" s="46" t="str">
        <f>ZZZ__FnCalls!F89</f>
        <v>MMM 2016</v>
      </c>
      <c r="CM77" s="46" t="str">
        <f>ZZZ__FnCalls!F90</f>
        <v>MMM 2016</v>
      </c>
      <c r="CN77" s="47" t="str">
        <f>ZZZ__FnCalls!F79</f>
        <v>MMM 2016</v>
      </c>
      <c r="CO77" s="46" t="str">
        <f>ZZZ__FnCalls!F91</f>
        <v>MMM 2017</v>
      </c>
      <c r="CP77" s="46" t="str">
        <f>ZZZ__FnCalls!F92</f>
        <v>MMM 2017</v>
      </c>
      <c r="CQ77" s="46" t="str">
        <f>ZZZ__FnCalls!F93</f>
        <v>MMM 2017</v>
      </c>
      <c r="CR77" s="46" t="str">
        <f>ZZZ__FnCalls!F94</f>
        <v>MMM 2017</v>
      </c>
      <c r="CS77" s="46" t="str">
        <f>ZZZ__FnCalls!F95</f>
        <v>MMM 2017</v>
      </c>
      <c r="CT77" s="46" t="str">
        <f>ZZZ__FnCalls!F96</f>
        <v>MMM 2017</v>
      </c>
      <c r="CU77" s="46" t="str">
        <f>ZZZ__FnCalls!F97</f>
        <v>MMM 2017</v>
      </c>
      <c r="CV77" s="46" t="str">
        <f>ZZZ__FnCalls!F98</f>
        <v>MMM 2017</v>
      </c>
      <c r="CW77" s="46" t="str">
        <f>ZZZ__FnCalls!F99</f>
        <v>MMM 2017</v>
      </c>
      <c r="CX77" s="46" t="str">
        <f>ZZZ__FnCalls!F100</f>
        <v>MMM 2017</v>
      </c>
      <c r="CY77" s="46" t="str">
        <f>ZZZ__FnCalls!F101</f>
        <v>MMM 2017</v>
      </c>
      <c r="CZ77" s="46" t="str">
        <f>ZZZ__FnCalls!F102</f>
        <v>MMM 2017</v>
      </c>
      <c r="DA77" s="47" t="str">
        <f>ZZZ__FnCalls!F91</f>
        <v>MMM 2017</v>
      </c>
      <c r="DB77" s="46" t="str">
        <f>ZZZ__FnCalls!F103</f>
        <v>MMM 2018</v>
      </c>
      <c r="DC77" s="46" t="str">
        <f>ZZZ__FnCalls!F104</f>
        <v>MMM 2018</v>
      </c>
      <c r="DD77" s="46" t="str">
        <f>ZZZ__FnCalls!F105</f>
        <v>MMM 2018</v>
      </c>
      <c r="DE77" s="46" t="str">
        <f>ZZZ__FnCalls!F106</f>
        <v>MMM 2018</v>
      </c>
      <c r="DF77" s="46" t="str">
        <f>ZZZ__FnCalls!F107</f>
        <v>MMM 2018</v>
      </c>
      <c r="DG77" s="46" t="str">
        <f>ZZZ__FnCalls!F108</f>
        <v>MMM 2018</v>
      </c>
      <c r="DH77" s="46" t="str">
        <f>ZZZ__FnCalls!F109</f>
        <v>MMM 2018</v>
      </c>
      <c r="DI77" s="46" t="str">
        <f>ZZZ__FnCalls!F110</f>
        <v>MMM 2018</v>
      </c>
      <c r="DJ77" s="46" t="str">
        <f>ZZZ__FnCalls!F111</f>
        <v>MMM 2018</v>
      </c>
      <c r="DK77" s="46" t="str">
        <f>ZZZ__FnCalls!F112</f>
        <v>MMM 2018</v>
      </c>
      <c r="DL77" s="46" t="str">
        <f>ZZZ__FnCalls!F113</f>
        <v>MMM 2018</v>
      </c>
      <c r="DM77" s="46" t="str">
        <f>ZZZ__FnCalls!F114</f>
        <v>MMM 2018</v>
      </c>
      <c r="DN77" s="47" t="str">
        <f>ZZZ__FnCalls!F103</f>
        <v>MMM 2018</v>
      </c>
      <c r="DO77" s="46" t="str">
        <f>ZZZ__FnCalls!F115</f>
        <v>MMM 2019</v>
      </c>
      <c r="DP77" s="46" t="str">
        <f>ZZZ__FnCalls!F116</f>
        <v>MMM 2019</v>
      </c>
      <c r="DQ77" s="46" t="str">
        <f>ZZZ__FnCalls!F117</f>
        <v>MMM 2019</v>
      </c>
      <c r="DR77" s="46" t="str">
        <f>ZZZ__FnCalls!F118</f>
        <v>MMM 2019</v>
      </c>
      <c r="DS77" s="46" t="str">
        <f>ZZZ__FnCalls!F119</f>
        <v>MMM 2019</v>
      </c>
      <c r="DT77" s="46" t="str">
        <f>ZZZ__FnCalls!F120</f>
        <v>MMM 2019</v>
      </c>
      <c r="DU77" s="46" t="str">
        <f>ZZZ__FnCalls!F121</f>
        <v>MMM 2019</v>
      </c>
      <c r="DV77" s="46" t="str">
        <f>ZZZ__FnCalls!F122</f>
        <v>MMM 2019</v>
      </c>
      <c r="DW77" s="46" t="str">
        <f>ZZZ__FnCalls!F123</f>
        <v>MMM 2019</v>
      </c>
      <c r="DX77" s="46" t="str">
        <f>ZZZ__FnCalls!F124</f>
        <v>MMM 2019</v>
      </c>
      <c r="DY77" s="46" t="str">
        <f>ZZZ__FnCalls!F125</f>
        <v>MMM 2019</v>
      </c>
      <c r="DZ77" s="46" t="str">
        <f>ZZZ__FnCalls!F126</f>
        <v>MMM 2019</v>
      </c>
      <c r="EA77" s="47" t="str">
        <f>ZZZ__FnCalls!F115</f>
        <v>MMM 2019</v>
      </c>
      <c r="EB77" s="46" t="str">
        <f>ZZZ__FnCalls!F127</f>
        <v>MMM 2020</v>
      </c>
      <c r="EC77" s="46" t="str">
        <f>ZZZ__FnCalls!F128</f>
        <v>MMM 2020</v>
      </c>
      <c r="ED77" s="46" t="str">
        <f>ZZZ__FnCalls!F129</f>
        <v>MMM 2020</v>
      </c>
      <c r="EE77" s="46" t="str">
        <f>ZZZ__FnCalls!F130</f>
        <v>MMM 2020</v>
      </c>
      <c r="EF77" s="46" t="str">
        <f>ZZZ__FnCalls!F131</f>
        <v>MMM 2020</v>
      </c>
      <c r="EG77" s="46" t="str">
        <f>ZZZ__FnCalls!F132</f>
        <v>MMM 2020</v>
      </c>
      <c r="EH77" s="46" t="str">
        <f>ZZZ__FnCalls!F133</f>
        <v>MMM 2020</v>
      </c>
      <c r="EI77" s="46" t="str">
        <f>ZZZ__FnCalls!F134</f>
        <v>MMM 2020</v>
      </c>
      <c r="EJ77" s="46" t="str">
        <f>ZZZ__FnCalls!F135</f>
        <v>MMM 2020</v>
      </c>
      <c r="EK77" s="46" t="str">
        <f>ZZZ__FnCalls!F136</f>
        <v>MMM 2020</v>
      </c>
      <c r="EL77" s="46" t="str">
        <f>ZZZ__FnCalls!F137</f>
        <v>MMM 2020</v>
      </c>
      <c r="EM77" s="46" t="str">
        <f>ZZZ__FnCalls!F138</f>
        <v>MMM 2020</v>
      </c>
      <c r="EN77" s="47" t="str">
        <f>ZZZ__FnCalls!F127</f>
        <v>MMM 2020</v>
      </c>
    </row>
    <row r="78" spans="1:144" ht="12.75" customHeight="1" x14ac:dyDescent="0.2">
      <c r="A78" s="2" t="str">
        <f>"Demand_Expected_Long_1"</f>
        <v>Demand_Expected_Long_1</v>
      </c>
    </row>
    <row r="79" spans="1:144" ht="12.75" customHeight="1" x14ac:dyDescent="0.2">
      <c r="B79" s="19" t="str">
        <f>ZZZ__FnCalls!F7</f>
        <v>MMM 2010</v>
      </c>
      <c r="C79" s="20" t="str">
        <f>ZZZ__FnCalls!F8</f>
        <v>MMM 2010</v>
      </c>
      <c r="D79" s="20" t="str">
        <f>ZZZ__FnCalls!F9</f>
        <v>MMM 2010</v>
      </c>
      <c r="E79" s="20" t="str">
        <f>ZZZ__FnCalls!F10</f>
        <v>MMM 2010</v>
      </c>
      <c r="F79" s="20" t="str">
        <f>ZZZ__FnCalls!F11</f>
        <v>MMM 2010</v>
      </c>
      <c r="G79" s="20" t="str">
        <f>ZZZ__FnCalls!F12</f>
        <v>MMM 2010</v>
      </c>
      <c r="H79" s="20" t="str">
        <f>ZZZ__FnCalls!F13</f>
        <v>MMM 2010</v>
      </c>
      <c r="I79" s="20" t="str">
        <f>ZZZ__FnCalls!F14</f>
        <v>MMM 2010</v>
      </c>
      <c r="J79" s="20" t="str">
        <f>ZZZ__FnCalls!F15</f>
        <v>MMM 2010</v>
      </c>
      <c r="K79" s="20" t="str">
        <f>ZZZ__FnCalls!F16</f>
        <v>MMM 2010</v>
      </c>
      <c r="L79" s="20" t="str">
        <f>ZZZ__FnCalls!F17</f>
        <v>MMM 2010</v>
      </c>
      <c r="M79" s="20" t="str">
        <f>ZZZ__FnCalls!F18</f>
        <v>MMM 2010</v>
      </c>
      <c r="N79" s="21" t="str">
        <f>ZZZ__FnCalls!H7</f>
        <v>2010</v>
      </c>
      <c r="O79" s="20" t="str">
        <f>ZZZ__FnCalls!F19</f>
        <v>MMM 2011</v>
      </c>
      <c r="P79" s="20" t="str">
        <f>ZZZ__FnCalls!F20</f>
        <v>MMM 2011</v>
      </c>
      <c r="Q79" s="20" t="str">
        <f>ZZZ__FnCalls!F21</f>
        <v>MMM 2011</v>
      </c>
      <c r="R79" s="20" t="str">
        <f>ZZZ__FnCalls!F22</f>
        <v>MMM 2011</v>
      </c>
      <c r="S79" s="20" t="str">
        <f>ZZZ__FnCalls!F23</f>
        <v>MMM 2011</v>
      </c>
      <c r="T79" s="20" t="str">
        <f>ZZZ__FnCalls!F24</f>
        <v>MMM 2011</v>
      </c>
      <c r="U79" s="20" t="str">
        <f>ZZZ__FnCalls!F25</f>
        <v>MMM 2011</v>
      </c>
      <c r="V79" s="20" t="str">
        <f>ZZZ__FnCalls!F26</f>
        <v>MMM 2011</v>
      </c>
      <c r="W79" s="20" t="str">
        <f>ZZZ__FnCalls!F27</f>
        <v>MMM 2011</v>
      </c>
      <c r="X79" s="20" t="str">
        <f>ZZZ__FnCalls!F28</f>
        <v>MMM 2011</v>
      </c>
      <c r="Y79" s="20" t="str">
        <f>ZZZ__FnCalls!F29</f>
        <v>MMM 2011</v>
      </c>
      <c r="Z79" s="20" t="str">
        <f>ZZZ__FnCalls!F30</f>
        <v>MMM 2011</v>
      </c>
      <c r="AA79" s="21" t="str">
        <f>ZZZ__FnCalls!H19</f>
        <v>2011</v>
      </c>
      <c r="AB79" s="20" t="str">
        <f>ZZZ__FnCalls!F31</f>
        <v>MMM 2012</v>
      </c>
      <c r="AC79" s="20" t="str">
        <f>ZZZ__FnCalls!F32</f>
        <v>MMM 2012</v>
      </c>
      <c r="AD79" s="20" t="str">
        <f>ZZZ__FnCalls!F33</f>
        <v>MMM 2012</v>
      </c>
      <c r="AE79" s="20" t="str">
        <f>ZZZ__FnCalls!F34</f>
        <v>MMM 2012</v>
      </c>
      <c r="AF79" s="20" t="str">
        <f>ZZZ__FnCalls!F35</f>
        <v>MMM 2012</v>
      </c>
      <c r="AG79" s="20" t="str">
        <f>ZZZ__FnCalls!F36</f>
        <v>MMM 2012</v>
      </c>
      <c r="AH79" s="20" t="str">
        <f>ZZZ__FnCalls!F37</f>
        <v>MMM 2012</v>
      </c>
      <c r="AI79" s="20" t="str">
        <f>ZZZ__FnCalls!F38</f>
        <v>MMM 2012</v>
      </c>
      <c r="AJ79" s="20" t="str">
        <f>ZZZ__FnCalls!F39</f>
        <v>MMM 2012</v>
      </c>
      <c r="AK79" s="20" t="str">
        <f>ZZZ__FnCalls!F40</f>
        <v>MMM 2012</v>
      </c>
      <c r="AL79" s="20" t="str">
        <f>ZZZ__FnCalls!F41</f>
        <v>MMM 2012</v>
      </c>
      <c r="AM79" s="20" t="str">
        <f>ZZZ__FnCalls!F42</f>
        <v>MMM 2012</v>
      </c>
      <c r="AN79" s="21" t="str">
        <f>ZZZ__FnCalls!H31</f>
        <v>2012</v>
      </c>
      <c r="AO79" s="20" t="str">
        <f>ZZZ__FnCalls!F43</f>
        <v>MMM 2013</v>
      </c>
      <c r="AP79" s="20" t="str">
        <f>ZZZ__FnCalls!F44</f>
        <v>MMM 2013</v>
      </c>
      <c r="AQ79" s="20" t="str">
        <f>ZZZ__FnCalls!F45</f>
        <v>MMM 2013</v>
      </c>
      <c r="AR79" s="20" t="str">
        <f>ZZZ__FnCalls!F46</f>
        <v>MMM 2013</v>
      </c>
      <c r="AS79" s="20" t="str">
        <f>ZZZ__FnCalls!F47</f>
        <v>MMM 2013</v>
      </c>
      <c r="AT79" s="20" t="str">
        <f>ZZZ__FnCalls!F48</f>
        <v>MMM 2013</v>
      </c>
      <c r="AU79" s="20" t="str">
        <f>ZZZ__FnCalls!F49</f>
        <v>MMM 2013</v>
      </c>
      <c r="AV79" s="20" t="str">
        <f>ZZZ__FnCalls!F50</f>
        <v>MMM 2013</v>
      </c>
      <c r="AW79" s="20" t="str">
        <f>ZZZ__FnCalls!F51</f>
        <v>MMM 2013</v>
      </c>
      <c r="AX79" s="20" t="str">
        <f>ZZZ__FnCalls!F52</f>
        <v>MMM 2013</v>
      </c>
      <c r="AY79" s="20" t="str">
        <f>ZZZ__FnCalls!F53</f>
        <v>MMM 2013</v>
      </c>
      <c r="AZ79" s="20" t="str">
        <f>ZZZ__FnCalls!F54</f>
        <v>MMM 2013</v>
      </c>
      <c r="BA79" s="21" t="str">
        <f>ZZZ__FnCalls!H43</f>
        <v>2013</v>
      </c>
      <c r="BB79" s="20" t="str">
        <f>ZZZ__FnCalls!F55</f>
        <v>MMM 2014</v>
      </c>
      <c r="BC79" s="20" t="str">
        <f>ZZZ__FnCalls!F56</f>
        <v>MMM 2014</v>
      </c>
      <c r="BD79" s="20" t="str">
        <f>ZZZ__FnCalls!F57</f>
        <v>MMM 2014</v>
      </c>
      <c r="BE79" s="20" t="str">
        <f>ZZZ__FnCalls!F58</f>
        <v>MMM 2014</v>
      </c>
      <c r="BF79" s="20" t="str">
        <f>ZZZ__FnCalls!F59</f>
        <v>MMM 2014</v>
      </c>
      <c r="BG79" s="20" t="str">
        <f>ZZZ__FnCalls!F60</f>
        <v>MMM 2014</v>
      </c>
      <c r="BH79" s="20" t="str">
        <f>ZZZ__FnCalls!F61</f>
        <v>MMM 2014</v>
      </c>
      <c r="BI79" s="20" t="str">
        <f>ZZZ__FnCalls!F62</f>
        <v>MMM 2014</v>
      </c>
      <c r="BJ79" s="20" t="str">
        <f>ZZZ__FnCalls!F63</f>
        <v>MMM 2014</v>
      </c>
      <c r="BK79" s="20" t="str">
        <f>ZZZ__FnCalls!F64</f>
        <v>MMM 2014</v>
      </c>
      <c r="BL79" s="20" t="str">
        <f>ZZZ__FnCalls!F65</f>
        <v>MMM 2014</v>
      </c>
      <c r="BM79" s="20" t="str">
        <f>ZZZ__FnCalls!F66</f>
        <v>MMM 2014</v>
      </c>
      <c r="BN79" s="21" t="str">
        <f>ZZZ__FnCalls!H55</f>
        <v>2014</v>
      </c>
      <c r="BO79" s="20" t="str">
        <f>ZZZ__FnCalls!F67</f>
        <v>MMM 2015</v>
      </c>
      <c r="BP79" s="20" t="str">
        <f>ZZZ__FnCalls!F68</f>
        <v>MMM 2015</v>
      </c>
      <c r="BQ79" s="20" t="str">
        <f>ZZZ__FnCalls!F69</f>
        <v>MMM 2015</v>
      </c>
      <c r="BR79" s="20" t="str">
        <f>ZZZ__FnCalls!F70</f>
        <v>MMM 2015</v>
      </c>
      <c r="BS79" s="20" t="str">
        <f>ZZZ__FnCalls!F71</f>
        <v>MMM 2015</v>
      </c>
      <c r="BT79" s="20" t="str">
        <f>ZZZ__FnCalls!F72</f>
        <v>MMM 2015</v>
      </c>
      <c r="BU79" s="20" t="str">
        <f>ZZZ__FnCalls!F73</f>
        <v>MMM 2015</v>
      </c>
      <c r="BV79" s="20" t="str">
        <f>ZZZ__FnCalls!F74</f>
        <v>MMM 2015</v>
      </c>
      <c r="BW79" s="20" t="str">
        <f>ZZZ__FnCalls!F75</f>
        <v>MMM 2015</v>
      </c>
      <c r="BX79" s="20" t="str">
        <f>ZZZ__FnCalls!F76</f>
        <v>MMM 2015</v>
      </c>
      <c r="BY79" s="20" t="str">
        <f>ZZZ__FnCalls!F77</f>
        <v>MMM 2015</v>
      </c>
      <c r="BZ79" s="20" t="str">
        <f>ZZZ__FnCalls!F78</f>
        <v>MMM 2015</v>
      </c>
      <c r="CA79" s="21" t="str">
        <f>ZZZ__FnCalls!H67</f>
        <v>2015</v>
      </c>
      <c r="CB79" s="20" t="str">
        <f>ZZZ__FnCalls!F79</f>
        <v>MMM 2016</v>
      </c>
      <c r="CC79" s="20" t="str">
        <f>ZZZ__FnCalls!F80</f>
        <v>MMM 2016</v>
      </c>
      <c r="CD79" s="20" t="str">
        <f>ZZZ__FnCalls!F81</f>
        <v>MMM 2016</v>
      </c>
      <c r="CE79" s="20" t="str">
        <f>ZZZ__FnCalls!F82</f>
        <v>MMM 2016</v>
      </c>
      <c r="CF79" s="20" t="str">
        <f>ZZZ__FnCalls!F83</f>
        <v>MMM 2016</v>
      </c>
      <c r="CG79" s="20" t="str">
        <f>ZZZ__FnCalls!F84</f>
        <v>MMM 2016</v>
      </c>
      <c r="CH79" s="20" t="str">
        <f>ZZZ__FnCalls!F85</f>
        <v>MMM 2016</v>
      </c>
      <c r="CI79" s="20" t="str">
        <f>ZZZ__FnCalls!F86</f>
        <v>MMM 2016</v>
      </c>
      <c r="CJ79" s="20" t="str">
        <f>ZZZ__FnCalls!F87</f>
        <v>MMM 2016</v>
      </c>
      <c r="CK79" s="20" t="str">
        <f>ZZZ__FnCalls!F88</f>
        <v>MMM 2016</v>
      </c>
      <c r="CL79" s="20" t="str">
        <f>ZZZ__FnCalls!F89</f>
        <v>MMM 2016</v>
      </c>
      <c r="CM79" s="20" t="str">
        <f>ZZZ__FnCalls!F90</f>
        <v>MMM 2016</v>
      </c>
      <c r="CN79" s="21" t="str">
        <f>ZZZ__FnCalls!H79</f>
        <v>2016</v>
      </c>
      <c r="CO79" s="20" t="str">
        <f>ZZZ__FnCalls!F91</f>
        <v>MMM 2017</v>
      </c>
      <c r="CP79" s="20" t="str">
        <f>ZZZ__FnCalls!F92</f>
        <v>MMM 2017</v>
      </c>
      <c r="CQ79" s="20" t="str">
        <f>ZZZ__FnCalls!F93</f>
        <v>MMM 2017</v>
      </c>
      <c r="CR79" s="20" t="str">
        <f>ZZZ__FnCalls!F94</f>
        <v>MMM 2017</v>
      </c>
      <c r="CS79" s="20" t="str">
        <f>ZZZ__FnCalls!F95</f>
        <v>MMM 2017</v>
      </c>
      <c r="CT79" s="20" t="str">
        <f>ZZZ__FnCalls!F96</f>
        <v>MMM 2017</v>
      </c>
      <c r="CU79" s="20" t="str">
        <f>ZZZ__FnCalls!F97</f>
        <v>MMM 2017</v>
      </c>
      <c r="CV79" s="20" t="str">
        <f>ZZZ__FnCalls!F98</f>
        <v>MMM 2017</v>
      </c>
      <c r="CW79" s="20" t="str">
        <f>ZZZ__FnCalls!F99</f>
        <v>MMM 2017</v>
      </c>
      <c r="CX79" s="20" t="str">
        <f>ZZZ__FnCalls!F100</f>
        <v>MMM 2017</v>
      </c>
      <c r="CY79" s="20" t="str">
        <f>ZZZ__FnCalls!F101</f>
        <v>MMM 2017</v>
      </c>
      <c r="CZ79" s="20" t="str">
        <f>ZZZ__FnCalls!F102</f>
        <v>MMM 2017</v>
      </c>
      <c r="DA79" s="21" t="str">
        <f>ZZZ__FnCalls!H91</f>
        <v>2017</v>
      </c>
      <c r="DB79" s="20" t="str">
        <f>ZZZ__FnCalls!F103</f>
        <v>MMM 2018</v>
      </c>
      <c r="DC79" s="20" t="str">
        <f>ZZZ__FnCalls!F104</f>
        <v>MMM 2018</v>
      </c>
      <c r="DD79" s="20" t="str">
        <f>ZZZ__FnCalls!F105</f>
        <v>MMM 2018</v>
      </c>
      <c r="DE79" s="20" t="str">
        <f>ZZZ__FnCalls!F106</f>
        <v>MMM 2018</v>
      </c>
      <c r="DF79" s="20" t="str">
        <f>ZZZ__FnCalls!F107</f>
        <v>MMM 2018</v>
      </c>
      <c r="DG79" s="20" t="str">
        <f>ZZZ__FnCalls!F108</f>
        <v>MMM 2018</v>
      </c>
      <c r="DH79" s="20" t="str">
        <f>ZZZ__FnCalls!F109</f>
        <v>MMM 2018</v>
      </c>
      <c r="DI79" s="20" t="str">
        <f>ZZZ__FnCalls!F110</f>
        <v>MMM 2018</v>
      </c>
      <c r="DJ79" s="20" t="str">
        <f>ZZZ__FnCalls!F111</f>
        <v>MMM 2018</v>
      </c>
      <c r="DK79" s="20" t="str">
        <f>ZZZ__FnCalls!F112</f>
        <v>MMM 2018</v>
      </c>
      <c r="DL79" s="20" t="str">
        <f>ZZZ__FnCalls!F113</f>
        <v>MMM 2018</v>
      </c>
      <c r="DM79" s="20" t="str">
        <f>ZZZ__FnCalls!F114</f>
        <v>MMM 2018</v>
      </c>
      <c r="DN79" s="21" t="str">
        <f>ZZZ__FnCalls!H103</f>
        <v>2018</v>
      </c>
      <c r="DO79" s="20" t="str">
        <f>ZZZ__FnCalls!F115</f>
        <v>MMM 2019</v>
      </c>
      <c r="DP79" s="20" t="str">
        <f>ZZZ__FnCalls!F116</f>
        <v>MMM 2019</v>
      </c>
      <c r="DQ79" s="20" t="str">
        <f>ZZZ__FnCalls!F117</f>
        <v>MMM 2019</v>
      </c>
      <c r="DR79" s="20" t="str">
        <f>ZZZ__FnCalls!F118</f>
        <v>MMM 2019</v>
      </c>
      <c r="DS79" s="20" t="str">
        <f>ZZZ__FnCalls!F119</f>
        <v>MMM 2019</v>
      </c>
      <c r="DT79" s="20" t="str">
        <f>ZZZ__FnCalls!F120</f>
        <v>MMM 2019</v>
      </c>
      <c r="DU79" s="20" t="str">
        <f>ZZZ__FnCalls!F121</f>
        <v>MMM 2019</v>
      </c>
      <c r="DV79" s="20" t="str">
        <f>ZZZ__FnCalls!F122</f>
        <v>MMM 2019</v>
      </c>
      <c r="DW79" s="20" t="str">
        <f>ZZZ__FnCalls!F123</f>
        <v>MMM 2019</v>
      </c>
      <c r="DX79" s="20" t="str">
        <f>ZZZ__FnCalls!F124</f>
        <v>MMM 2019</v>
      </c>
      <c r="DY79" s="20" t="str">
        <f>ZZZ__FnCalls!F125</f>
        <v>MMM 2019</v>
      </c>
      <c r="DZ79" s="20" t="str">
        <f>ZZZ__FnCalls!F126</f>
        <v>MMM 2019</v>
      </c>
      <c r="EA79" s="21" t="str">
        <f>ZZZ__FnCalls!H115</f>
        <v>2019</v>
      </c>
      <c r="EB79" s="20" t="str">
        <f>ZZZ__FnCalls!F127</f>
        <v>MMM 2020</v>
      </c>
      <c r="EC79" s="20" t="str">
        <f>ZZZ__FnCalls!F128</f>
        <v>MMM 2020</v>
      </c>
      <c r="ED79" s="20" t="str">
        <f>ZZZ__FnCalls!F129</f>
        <v>MMM 2020</v>
      </c>
      <c r="EE79" s="20" t="str">
        <f>ZZZ__FnCalls!F130</f>
        <v>MMM 2020</v>
      </c>
      <c r="EF79" s="20" t="str">
        <f>ZZZ__FnCalls!F131</f>
        <v>MMM 2020</v>
      </c>
      <c r="EG79" s="20" t="str">
        <f>ZZZ__FnCalls!F132</f>
        <v>MMM 2020</v>
      </c>
      <c r="EH79" s="20" t="str">
        <f>ZZZ__FnCalls!F133</f>
        <v>MMM 2020</v>
      </c>
      <c r="EI79" s="20" t="str">
        <f>ZZZ__FnCalls!F134</f>
        <v>MMM 2020</v>
      </c>
      <c r="EJ79" s="20" t="str">
        <f>ZZZ__FnCalls!F135</f>
        <v>MMM 2020</v>
      </c>
      <c r="EK79" s="20" t="str">
        <f>ZZZ__FnCalls!F136</f>
        <v>MMM 2020</v>
      </c>
      <c r="EL79" s="20" t="str">
        <f>ZZZ__FnCalls!F137</f>
        <v>MMM 2020</v>
      </c>
      <c r="EM79" s="20" t="str">
        <f>ZZZ__FnCalls!F138</f>
        <v>MMM 2020</v>
      </c>
      <c r="EN79" s="21" t="str">
        <f>ZZZ__FnCalls!H127</f>
        <v>2020</v>
      </c>
    </row>
    <row r="80" spans="1:144" ht="12.75" customHeight="1" x14ac:dyDescent="0.2">
      <c r="A80" s="5"/>
      <c r="B80" s="46">
        <f>ZZZ__FnCalls!A7</f>
        <v>40179</v>
      </c>
      <c r="C80" s="46">
        <f>ZZZ__FnCalls!A8</f>
        <v>40210</v>
      </c>
      <c r="D80" s="46">
        <f>ZZZ__FnCalls!A9</f>
        <v>40238</v>
      </c>
      <c r="E80" s="46">
        <f>ZZZ__FnCalls!A10</f>
        <v>40269</v>
      </c>
      <c r="F80" s="46">
        <f>ZZZ__FnCalls!A11</f>
        <v>40299</v>
      </c>
      <c r="G80" s="46">
        <f>ZZZ__FnCalls!A12</f>
        <v>40330</v>
      </c>
      <c r="H80" s="46">
        <f>ZZZ__FnCalls!A13</f>
        <v>40360</v>
      </c>
      <c r="I80" s="46">
        <f>ZZZ__FnCalls!A14</f>
        <v>40391</v>
      </c>
      <c r="J80" s="46">
        <f>ZZZ__FnCalls!A15</f>
        <v>40422</v>
      </c>
      <c r="K80" s="46">
        <f>ZZZ__FnCalls!A16</f>
        <v>40452</v>
      </c>
      <c r="L80" s="46">
        <f>ZZZ__FnCalls!A17</f>
        <v>40483</v>
      </c>
      <c r="M80" s="46">
        <f>ZZZ__FnCalls!A18</f>
        <v>40513</v>
      </c>
      <c r="N80" s="47">
        <f>ZZZ__FnCalls!A7</f>
        <v>40179</v>
      </c>
      <c r="O80" s="46">
        <f>ZZZ__FnCalls!A19</f>
        <v>40544</v>
      </c>
      <c r="P80" s="46">
        <f>ZZZ__FnCalls!A20</f>
        <v>40575</v>
      </c>
      <c r="Q80" s="46">
        <f>ZZZ__FnCalls!A21</f>
        <v>40603</v>
      </c>
      <c r="R80" s="46">
        <f>ZZZ__FnCalls!A22</f>
        <v>40634</v>
      </c>
      <c r="S80" s="46">
        <f>ZZZ__FnCalls!A23</f>
        <v>40664</v>
      </c>
      <c r="T80" s="46">
        <f>ZZZ__FnCalls!A24</f>
        <v>40695</v>
      </c>
      <c r="U80" s="46">
        <f>ZZZ__FnCalls!A25</f>
        <v>40725</v>
      </c>
      <c r="V80" s="46">
        <f>ZZZ__FnCalls!A26</f>
        <v>40756</v>
      </c>
      <c r="W80" s="46">
        <f>ZZZ__FnCalls!A27</f>
        <v>40787</v>
      </c>
      <c r="X80" s="46">
        <f>ZZZ__FnCalls!A28</f>
        <v>40817</v>
      </c>
      <c r="Y80" s="46">
        <f>ZZZ__FnCalls!A29</f>
        <v>40848</v>
      </c>
      <c r="Z80" s="46">
        <f>ZZZ__FnCalls!A30</f>
        <v>40878</v>
      </c>
      <c r="AA80" s="47">
        <f>ZZZ__FnCalls!A19</f>
        <v>40544</v>
      </c>
      <c r="AB80" s="46">
        <f>ZZZ__FnCalls!A31</f>
        <v>40909</v>
      </c>
      <c r="AC80" s="46">
        <f>ZZZ__FnCalls!A32</f>
        <v>40940</v>
      </c>
      <c r="AD80" s="46">
        <f>ZZZ__FnCalls!A33</f>
        <v>40969</v>
      </c>
      <c r="AE80" s="46">
        <f>ZZZ__FnCalls!A34</f>
        <v>41000</v>
      </c>
      <c r="AF80" s="46">
        <f>ZZZ__FnCalls!A35</f>
        <v>41030</v>
      </c>
      <c r="AG80" s="46">
        <f>ZZZ__FnCalls!A36</f>
        <v>41061</v>
      </c>
      <c r="AH80" s="46">
        <f>ZZZ__FnCalls!A37</f>
        <v>41091</v>
      </c>
      <c r="AI80" s="46">
        <f>ZZZ__FnCalls!A38</f>
        <v>41122</v>
      </c>
      <c r="AJ80" s="46">
        <f>ZZZ__FnCalls!A39</f>
        <v>41153</v>
      </c>
      <c r="AK80" s="46">
        <f>ZZZ__FnCalls!A40</f>
        <v>41183</v>
      </c>
      <c r="AL80" s="46">
        <f>ZZZ__FnCalls!A41</f>
        <v>41214</v>
      </c>
      <c r="AM80" s="46">
        <f>ZZZ__FnCalls!A42</f>
        <v>41244</v>
      </c>
      <c r="AN80" s="47">
        <f>ZZZ__FnCalls!A31</f>
        <v>40909</v>
      </c>
      <c r="AO80" s="46">
        <f>ZZZ__FnCalls!A43</f>
        <v>41275</v>
      </c>
      <c r="AP80" s="46">
        <f>ZZZ__FnCalls!A44</f>
        <v>41306</v>
      </c>
      <c r="AQ80" s="46">
        <f>ZZZ__FnCalls!A45</f>
        <v>41334</v>
      </c>
      <c r="AR80" s="46">
        <f>ZZZ__FnCalls!A46</f>
        <v>41365</v>
      </c>
      <c r="AS80" s="46">
        <f>ZZZ__FnCalls!A47</f>
        <v>41395</v>
      </c>
      <c r="AT80" s="46">
        <f>ZZZ__FnCalls!A48</f>
        <v>41426</v>
      </c>
      <c r="AU80" s="46">
        <f>ZZZ__FnCalls!A49</f>
        <v>41456</v>
      </c>
      <c r="AV80" s="46">
        <f>ZZZ__FnCalls!A50</f>
        <v>41487</v>
      </c>
      <c r="AW80" s="46">
        <f>ZZZ__FnCalls!A51</f>
        <v>41518</v>
      </c>
      <c r="AX80" s="46">
        <f>ZZZ__FnCalls!A52</f>
        <v>41548</v>
      </c>
      <c r="AY80" s="46">
        <f>ZZZ__FnCalls!A53</f>
        <v>41579</v>
      </c>
      <c r="AZ80" s="46">
        <f>ZZZ__FnCalls!A54</f>
        <v>41609</v>
      </c>
      <c r="BA80" s="47">
        <f>ZZZ__FnCalls!A43</f>
        <v>41275</v>
      </c>
      <c r="BB80" s="46">
        <f>ZZZ__FnCalls!A55</f>
        <v>41640</v>
      </c>
      <c r="BC80" s="46">
        <f>ZZZ__FnCalls!A56</f>
        <v>41671</v>
      </c>
      <c r="BD80" s="46">
        <f>ZZZ__FnCalls!A57</f>
        <v>41699</v>
      </c>
      <c r="BE80" s="46">
        <f>ZZZ__FnCalls!A58</f>
        <v>41730</v>
      </c>
      <c r="BF80" s="46">
        <f>ZZZ__FnCalls!A59</f>
        <v>41760</v>
      </c>
      <c r="BG80" s="46">
        <f>ZZZ__FnCalls!A60</f>
        <v>41791</v>
      </c>
      <c r="BH80" s="46">
        <f>ZZZ__FnCalls!A61</f>
        <v>41821</v>
      </c>
      <c r="BI80" s="46">
        <f>ZZZ__FnCalls!A62</f>
        <v>41852</v>
      </c>
      <c r="BJ80" s="46">
        <f>ZZZ__FnCalls!A63</f>
        <v>41883</v>
      </c>
      <c r="BK80" s="46">
        <f>ZZZ__FnCalls!A64</f>
        <v>41913</v>
      </c>
      <c r="BL80" s="46">
        <f>ZZZ__FnCalls!A65</f>
        <v>41944</v>
      </c>
      <c r="BM80" s="46">
        <f>ZZZ__FnCalls!A66</f>
        <v>41974</v>
      </c>
      <c r="BN80" s="47">
        <f>ZZZ__FnCalls!A55</f>
        <v>41640</v>
      </c>
      <c r="BO80" s="46">
        <f>ZZZ__FnCalls!A67</f>
        <v>42005</v>
      </c>
      <c r="BP80" s="46">
        <f>ZZZ__FnCalls!A68</f>
        <v>42036</v>
      </c>
      <c r="BQ80" s="46">
        <f>ZZZ__FnCalls!A69</f>
        <v>42064</v>
      </c>
      <c r="BR80" s="46">
        <f>ZZZ__FnCalls!A70</f>
        <v>42095</v>
      </c>
      <c r="BS80" s="46">
        <f>ZZZ__FnCalls!A71</f>
        <v>42125</v>
      </c>
      <c r="BT80" s="46">
        <f>ZZZ__FnCalls!A72</f>
        <v>42156</v>
      </c>
      <c r="BU80" s="46">
        <f>ZZZ__FnCalls!A73</f>
        <v>42186</v>
      </c>
      <c r="BV80" s="46">
        <f>ZZZ__FnCalls!A74</f>
        <v>42217</v>
      </c>
      <c r="BW80" s="46">
        <f>ZZZ__FnCalls!A75</f>
        <v>42248</v>
      </c>
      <c r="BX80" s="46">
        <f>ZZZ__FnCalls!A76</f>
        <v>42278</v>
      </c>
      <c r="BY80" s="46">
        <f>ZZZ__FnCalls!A77</f>
        <v>42309</v>
      </c>
      <c r="BZ80" s="46">
        <f>ZZZ__FnCalls!A78</f>
        <v>42339</v>
      </c>
      <c r="CA80" s="47">
        <f>ZZZ__FnCalls!A67</f>
        <v>42005</v>
      </c>
      <c r="CB80" s="46">
        <f>ZZZ__FnCalls!A79</f>
        <v>42370</v>
      </c>
      <c r="CC80" s="46">
        <f>ZZZ__FnCalls!A80</f>
        <v>42401</v>
      </c>
      <c r="CD80" s="46">
        <f>ZZZ__FnCalls!A81</f>
        <v>42430</v>
      </c>
      <c r="CE80" s="46">
        <f>ZZZ__FnCalls!A82</f>
        <v>42461</v>
      </c>
      <c r="CF80" s="46">
        <f>ZZZ__FnCalls!A83</f>
        <v>42491</v>
      </c>
      <c r="CG80" s="46">
        <f>ZZZ__FnCalls!A84</f>
        <v>42522</v>
      </c>
      <c r="CH80" s="46">
        <f>ZZZ__FnCalls!A85</f>
        <v>42552</v>
      </c>
      <c r="CI80" s="46">
        <f>ZZZ__FnCalls!A86</f>
        <v>42583</v>
      </c>
      <c r="CJ80" s="46">
        <f>ZZZ__FnCalls!A87</f>
        <v>42614</v>
      </c>
      <c r="CK80" s="46">
        <f>ZZZ__FnCalls!A88</f>
        <v>42644</v>
      </c>
      <c r="CL80" s="46">
        <f>ZZZ__FnCalls!A89</f>
        <v>42675</v>
      </c>
      <c r="CM80" s="46">
        <f>ZZZ__FnCalls!A90</f>
        <v>42705</v>
      </c>
      <c r="CN80" s="47">
        <f>ZZZ__FnCalls!A79</f>
        <v>42370</v>
      </c>
      <c r="CO80" s="46">
        <f>ZZZ__FnCalls!A91</f>
        <v>42736</v>
      </c>
      <c r="CP80" s="46">
        <f>ZZZ__FnCalls!A92</f>
        <v>42767</v>
      </c>
      <c r="CQ80" s="46">
        <f>ZZZ__FnCalls!A93</f>
        <v>42795</v>
      </c>
      <c r="CR80" s="46">
        <f>ZZZ__FnCalls!A94</f>
        <v>42826</v>
      </c>
      <c r="CS80" s="46">
        <f>ZZZ__FnCalls!A95</f>
        <v>42856</v>
      </c>
      <c r="CT80" s="46">
        <f>ZZZ__FnCalls!A96</f>
        <v>42887</v>
      </c>
      <c r="CU80" s="46">
        <f>ZZZ__FnCalls!A97</f>
        <v>42917</v>
      </c>
      <c r="CV80" s="46">
        <f>ZZZ__FnCalls!A98</f>
        <v>42948</v>
      </c>
      <c r="CW80" s="46">
        <f>ZZZ__FnCalls!A99</f>
        <v>42979</v>
      </c>
      <c r="CX80" s="46">
        <f>ZZZ__FnCalls!A100</f>
        <v>43009</v>
      </c>
      <c r="CY80" s="46">
        <f>ZZZ__FnCalls!A101</f>
        <v>43040</v>
      </c>
      <c r="CZ80" s="46">
        <f>ZZZ__FnCalls!A102</f>
        <v>43070</v>
      </c>
      <c r="DA80" s="47">
        <f>ZZZ__FnCalls!A91</f>
        <v>42736</v>
      </c>
      <c r="DB80" s="46">
        <f>ZZZ__FnCalls!A103</f>
        <v>43101</v>
      </c>
      <c r="DC80" s="46">
        <f>ZZZ__FnCalls!A104</f>
        <v>43132</v>
      </c>
      <c r="DD80" s="46">
        <f>ZZZ__FnCalls!A105</f>
        <v>43160</v>
      </c>
      <c r="DE80" s="46">
        <f>ZZZ__FnCalls!A106</f>
        <v>43191</v>
      </c>
      <c r="DF80" s="46">
        <f>ZZZ__FnCalls!A107</f>
        <v>43221</v>
      </c>
      <c r="DG80" s="46">
        <f>ZZZ__FnCalls!A108</f>
        <v>43252</v>
      </c>
      <c r="DH80" s="46">
        <f>ZZZ__FnCalls!A109</f>
        <v>43282</v>
      </c>
      <c r="DI80" s="46">
        <f>ZZZ__FnCalls!A110</f>
        <v>43313</v>
      </c>
      <c r="DJ80" s="46">
        <f>ZZZ__FnCalls!A111</f>
        <v>43344</v>
      </c>
      <c r="DK80" s="46">
        <f>ZZZ__FnCalls!A112</f>
        <v>43374</v>
      </c>
      <c r="DL80" s="46">
        <f>ZZZ__FnCalls!A113</f>
        <v>43405</v>
      </c>
      <c r="DM80" s="46">
        <f>ZZZ__FnCalls!A114</f>
        <v>43435</v>
      </c>
      <c r="DN80" s="47">
        <f>ZZZ__FnCalls!A103</f>
        <v>43101</v>
      </c>
      <c r="DO80" s="46">
        <f>ZZZ__FnCalls!A115</f>
        <v>43466</v>
      </c>
      <c r="DP80" s="46">
        <f>ZZZ__FnCalls!A116</f>
        <v>43497</v>
      </c>
      <c r="DQ80" s="46">
        <f>ZZZ__FnCalls!A117</f>
        <v>43525</v>
      </c>
      <c r="DR80" s="46">
        <f>ZZZ__FnCalls!A118</f>
        <v>43556</v>
      </c>
      <c r="DS80" s="46">
        <f>ZZZ__FnCalls!A119</f>
        <v>43586</v>
      </c>
      <c r="DT80" s="46">
        <f>ZZZ__FnCalls!A120</f>
        <v>43617</v>
      </c>
      <c r="DU80" s="46">
        <f>ZZZ__FnCalls!A121</f>
        <v>43647</v>
      </c>
      <c r="DV80" s="46">
        <f>ZZZ__FnCalls!A122</f>
        <v>43678</v>
      </c>
      <c r="DW80" s="46">
        <f>ZZZ__FnCalls!A123</f>
        <v>43709</v>
      </c>
      <c r="DX80" s="46">
        <f>ZZZ__FnCalls!A124</f>
        <v>43739</v>
      </c>
      <c r="DY80" s="46">
        <f>ZZZ__FnCalls!A125</f>
        <v>43770</v>
      </c>
      <c r="DZ80" s="46">
        <f>ZZZ__FnCalls!A126</f>
        <v>43800</v>
      </c>
      <c r="EA80" s="47">
        <f>ZZZ__FnCalls!A115</f>
        <v>43466</v>
      </c>
      <c r="EB80" s="46">
        <f>ZZZ__FnCalls!A127</f>
        <v>43831</v>
      </c>
      <c r="EC80" s="46">
        <f>ZZZ__FnCalls!A128</f>
        <v>43862</v>
      </c>
      <c r="ED80" s="46">
        <f>ZZZ__FnCalls!A129</f>
        <v>43891</v>
      </c>
      <c r="EE80" s="46">
        <f>ZZZ__FnCalls!A130</f>
        <v>43922</v>
      </c>
      <c r="EF80" s="46">
        <f>ZZZ__FnCalls!A131</f>
        <v>43952</v>
      </c>
      <c r="EG80" s="46">
        <f>ZZZ__FnCalls!A132</f>
        <v>43983</v>
      </c>
      <c r="EH80" s="46">
        <f>ZZZ__FnCalls!A133</f>
        <v>44013</v>
      </c>
      <c r="EI80" s="46">
        <f>ZZZ__FnCalls!A134</f>
        <v>44044</v>
      </c>
      <c r="EJ80" s="46">
        <f>ZZZ__FnCalls!A135</f>
        <v>44075</v>
      </c>
      <c r="EK80" s="46">
        <f>ZZZ__FnCalls!A136</f>
        <v>44105</v>
      </c>
      <c r="EL80" s="46">
        <f>ZZZ__FnCalls!A137</f>
        <v>44136</v>
      </c>
      <c r="EM80" s="46">
        <f>ZZZ__FnCalls!A138</f>
        <v>44166</v>
      </c>
      <c r="EN80" s="47">
        <f>ZZZ__FnCalls!A127</f>
        <v>43831</v>
      </c>
    </row>
    <row r="81" spans="1:144" ht="12.75" customHeight="1" x14ac:dyDescent="0.2">
      <c r="A81" s="2" t="str">
        <f>"Demand_Expected_Long_2"</f>
        <v>Demand_Expected_Long_2</v>
      </c>
    </row>
    <row r="82" spans="1:144" ht="12.75" customHeight="1" x14ac:dyDescent="0.2">
      <c r="B82" s="19" t="str">
        <f>ZZZ__FnCalls!F7</f>
        <v>MMM 2010</v>
      </c>
      <c r="C82" s="20" t="str">
        <f>ZZZ__FnCalls!F8</f>
        <v>MMM 2010</v>
      </c>
      <c r="D82" s="20" t="str">
        <f>ZZZ__FnCalls!F9</f>
        <v>MMM 2010</v>
      </c>
      <c r="E82" s="20" t="str">
        <f>ZZZ__FnCalls!F10</f>
        <v>MMM 2010</v>
      </c>
      <c r="F82" s="20" t="str">
        <f>ZZZ__FnCalls!F11</f>
        <v>MMM 2010</v>
      </c>
      <c r="G82" s="20" t="str">
        <f>ZZZ__FnCalls!F12</f>
        <v>MMM 2010</v>
      </c>
      <c r="H82" s="20" t="str">
        <f>ZZZ__FnCalls!F13</f>
        <v>MMM 2010</v>
      </c>
      <c r="I82" s="20" t="str">
        <f>ZZZ__FnCalls!F14</f>
        <v>MMM 2010</v>
      </c>
      <c r="J82" s="20" t="str">
        <f>ZZZ__FnCalls!F15</f>
        <v>MMM 2010</v>
      </c>
      <c r="K82" s="20" t="str">
        <f>ZZZ__FnCalls!F16</f>
        <v>MMM 2010</v>
      </c>
      <c r="L82" s="20" t="str">
        <f>ZZZ__FnCalls!F17</f>
        <v>MMM 2010</v>
      </c>
      <c r="M82" s="20" t="str">
        <f>ZZZ__FnCalls!F18</f>
        <v>MMM 2010</v>
      </c>
      <c r="N82" s="21" t="str">
        <f>ZZZ__FnCalls!H7</f>
        <v>2010</v>
      </c>
      <c r="O82" s="20" t="str">
        <f>ZZZ__FnCalls!F19</f>
        <v>MMM 2011</v>
      </c>
      <c r="P82" s="20" t="str">
        <f>ZZZ__FnCalls!F20</f>
        <v>MMM 2011</v>
      </c>
      <c r="Q82" s="20" t="str">
        <f>ZZZ__FnCalls!F21</f>
        <v>MMM 2011</v>
      </c>
      <c r="R82" s="20" t="str">
        <f>ZZZ__FnCalls!F22</f>
        <v>MMM 2011</v>
      </c>
      <c r="S82" s="20" t="str">
        <f>ZZZ__FnCalls!F23</f>
        <v>MMM 2011</v>
      </c>
      <c r="T82" s="20" t="str">
        <f>ZZZ__FnCalls!F24</f>
        <v>MMM 2011</v>
      </c>
      <c r="U82" s="20" t="str">
        <f>ZZZ__FnCalls!F25</f>
        <v>MMM 2011</v>
      </c>
      <c r="V82" s="20" t="str">
        <f>ZZZ__FnCalls!F26</f>
        <v>MMM 2011</v>
      </c>
      <c r="W82" s="20" t="str">
        <f>ZZZ__FnCalls!F27</f>
        <v>MMM 2011</v>
      </c>
      <c r="X82" s="20" t="str">
        <f>ZZZ__FnCalls!F28</f>
        <v>MMM 2011</v>
      </c>
      <c r="Y82" s="20" t="str">
        <f>ZZZ__FnCalls!F29</f>
        <v>MMM 2011</v>
      </c>
      <c r="Z82" s="20" t="str">
        <f>ZZZ__FnCalls!F30</f>
        <v>MMM 2011</v>
      </c>
      <c r="AA82" s="21" t="str">
        <f>ZZZ__FnCalls!H19</f>
        <v>2011</v>
      </c>
      <c r="AB82" s="20" t="str">
        <f>ZZZ__FnCalls!F31</f>
        <v>MMM 2012</v>
      </c>
      <c r="AC82" s="20" t="str">
        <f>ZZZ__FnCalls!F32</f>
        <v>MMM 2012</v>
      </c>
      <c r="AD82" s="20" t="str">
        <f>ZZZ__FnCalls!F33</f>
        <v>MMM 2012</v>
      </c>
      <c r="AE82" s="20" t="str">
        <f>ZZZ__FnCalls!F34</f>
        <v>MMM 2012</v>
      </c>
      <c r="AF82" s="20" t="str">
        <f>ZZZ__FnCalls!F35</f>
        <v>MMM 2012</v>
      </c>
      <c r="AG82" s="20" t="str">
        <f>ZZZ__FnCalls!F36</f>
        <v>MMM 2012</v>
      </c>
      <c r="AH82" s="20" t="str">
        <f>ZZZ__FnCalls!F37</f>
        <v>MMM 2012</v>
      </c>
      <c r="AI82" s="20" t="str">
        <f>ZZZ__FnCalls!F38</f>
        <v>MMM 2012</v>
      </c>
      <c r="AJ82" s="20" t="str">
        <f>ZZZ__FnCalls!F39</f>
        <v>MMM 2012</v>
      </c>
      <c r="AK82" s="20" t="str">
        <f>ZZZ__FnCalls!F40</f>
        <v>MMM 2012</v>
      </c>
      <c r="AL82" s="20" t="str">
        <f>ZZZ__FnCalls!F41</f>
        <v>MMM 2012</v>
      </c>
      <c r="AM82" s="20" t="str">
        <f>ZZZ__FnCalls!F42</f>
        <v>MMM 2012</v>
      </c>
      <c r="AN82" s="21" t="str">
        <f>ZZZ__FnCalls!H31</f>
        <v>2012</v>
      </c>
      <c r="AO82" s="20" t="str">
        <f>ZZZ__FnCalls!F43</f>
        <v>MMM 2013</v>
      </c>
      <c r="AP82" s="20" t="str">
        <f>ZZZ__FnCalls!F44</f>
        <v>MMM 2013</v>
      </c>
      <c r="AQ82" s="20" t="str">
        <f>ZZZ__FnCalls!F45</f>
        <v>MMM 2013</v>
      </c>
      <c r="AR82" s="20" t="str">
        <f>ZZZ__FnCalls!F46</f>
        <v>MMM 2013</v>
      </c>
      <c r="AS82" s="20" t="str">
        <f>ZZZ__FnCalls!F47</f>
        <v>MMM 2013</v>
      </c>
      <c r="AT82" s="20" t="str">
        <f>ZZZ__FnCalls!F48</f>
        <v>MMM 2013</v>
      </c>
      <c r="AU82" s="20" t="str">
        <f>ZZZ__FnCalls!F49</f>
        <v>MMM 2013</v>
      </c>
      <c r="AV82" s="20" t="str">
        <f>ZZZ__FnCalls!F50</f>
        <v>MMM 2013</v>
      </c>
      <c r="AW82" s="20" t="str">
        <f>ZZZ__FnCalls!F51</f>
        <v>MMM 2013</v>
      </c>
      <c r="AX82" s="20" t="str">
        <f>ZZZ__FnCalls!F52</f>
        <v>MMM 2013</v>
      </c>
      <c r="AY82" s="20" t="str">
        <f>ZZZ__FnCalls!F53</f>
        <v>MMM 2013</v>
      </c>
      <c r="AZ82" s="20" t="str">
        <f>ZZZ__FnCalls!F54</f>
        <v>MMM 2013</v>
      </c>
      <c r="BA82" s="21" t="str">
        <f>ZZZ__FnCalls!H43</f>
        <v>2013</v>
      </c>
      <c r="BB82" s="20" t="str">
        <f>ZZZ__FnCalls!F55</f>
        <v>MMM 2014</v>
      </c>
      <c r="BC82" s="20" t="str">
        <f>ZZZ__FnCalls!F56</f>
        <v>MMM 2014</v>
      </c>
      <c r="BD82" s="20" t="str">
        <f>ZZZ__FnCalls!F57</f>
        <v>MMM 2014</v>
      </c>
      <c r="BE82" s="20" t="str">
        <f>ZZZ__FnCalls!F58</f>
        <v>MMM 2014</v>
      </c>
      <c r="BF82" s="20" t="str">
        <f>ZZZ__FnCalls!F59</f>
        <v>MMM 2014</v>
      </c>
      <c r="BG82" s="20" t="str">
        <f>ZZZ__FnCalls!F60</f>
        <v>MMM 2014</v>
      </c>
      <c r="BH82" s="20" t="str">
        <f>ZZZ__FnCalls!F61</f>
        <v>MMM 2014</v>
      </c>
      <c r="BI82" s="20" t="str">
        <f>ZZZ__FnCalls!F62</f>
        <v>MMM 2014</v>
      </c>
      <c r="BJ82" s="20" t="str">
        <f>ZZZ__FnCalls!F63</f>
        <v>MMM 2014</v>
      </c>
      <c r="BK82" s="20" t="str">
        <f>ZZZ__FnCalls!F64</f>
        <v>MMM 2014</v>
      </c>
      <c r="BL82" s="20" t="str">
        <f>ZZZ__FnCalls!F65</f>
        <v>MMM 2014</v>
      </c>
      <c r="BM82" s="20" t="str">
        <f>ZZZ__FnCalls!F66</f>
        <v>MMM 2014</v>
      </c>
      <c r="BN82" s="21" t="str">
        <f>ZZZ__FnCalls!H55</f>
        <v>2014</v>
      </c>
      <c r="BO82" s="20" t="str">
        <f>ZZZ__FnCalls!F67</f>
        <v>MMM 2015</v>
      </c>
      <c r="BP82" s="20" t="str">
        <f>ZZZ__FnCalls!F68</f>
        <v>MMM 2015</v>
      </c>
      <c r="BQ82" s="20" t="str">
        <f>ZZZ__FnCalls!F69</f>
        <v>MMM 2015</v>
      </c>
      <c r="BR82" s="20" t="str">
        <f>ZZZ__FnCalls!F70</f>
        <v>MMM 2015</v>
      </c>
      <c r="BS82" s="20" t="str">
        <f>ZZZ__FnCalls!F71</f>
        <v>MMM 2015</v>
      </c>
      <c r="BT82" s="20" t="str">
        <f>ZZZ__FnCalls!F72</f>
        <v>MMM 2015</v>
      </c>
      <c r="BU82" s="20" t="str">
        <f>ZZZ__FnCalls!F73</f>
        <v>MMM 2015</v>
      </c>
      <c r="BV82" s="20" t="str">
        <f>ZZZ__FnCalls!F74</f>
        <v>MMM 2015</v>
      </c>
      <c r="BW82" s="20" t="str">
        <f>ZZZ__FnCalls!F75</f>
        <v>MMM 2015</v>
      </c>
      <c r="BX82" s="20" t="str">
        <f>ZZZ__FnCalls!F76</f>
        <v>MMM 2015</v>
      </c>
      <c r="BY82" s="20" t="str">
        <f>ZZZ__FnCalls!F77</f>
        <v>MMM 2015</v>
      </c>
      <c r="BZ82" s="20" t="str">
        <f>ZZZ__FnCalls!F78</f>
        <v>MMM 2015</v>
      </c>
      <c r="CA82" s="21" t="str">
        <f>ZZZ__FnCalls!H67</f>
        <v>2015</v>
      </c>
      <c r="CB82" s="20" t="str">
        <f>ZZZ__FnCalls!F79</f>
        <v>MMM 2016</v>
      </c>
      <c r="CC82" s="20" t="str">
        <f>ZZZ__FnCalls!F80</f>
        <v>MMM 2016</v>
      </c>
      <c r="CD82" s="20" t="str">
        <f>ZZZ__FnCalls!F81</f>
        <v>MMM 2016</v>
      </c>
      <c r="CE82" s="20" t="str">
        <f>ZZZ__FnCalls!F82</f>
        <v>MMM 2016</v>
      </c>
      <c r="CF82" s="20" t="str">
        <f>ZZZ__FnCalls!F83</f>
        <v>MMM 2016</v>
      </c>
      <c r="CG82" s="20" t="str">
        <f>ZZZ__FnCalls!F84</f>
        <v>MMM 2016</v>
      </c>
      <c r="CH82" s="20" t="str">
        <f>ZZZ__FnCalls!F85</f>
        <v>MMM 2016</v>
      </c>
      <c r="CI82" s="20" t="str">
        <f>ZZZ__FnCalls!F86</f>
        <v>MMM 2016</v>
      </c>
      <c r="CJ82" s="20" t="str">
        <f>ZZZ__FnCalls!F87</f>
        <v>MMM 2016</v>
      </c>
      <c r="CK82" s="20" t="str">
        <f>ZZZ__FnCalls!F88</f>
        <v>MMM 2016</v>
      </c>
      <c r="CL82" s="20" t="str">
        <f>ZZZ__FnCalls!F89</f>
        <v>MMM 2016</v>
      </c>
      <c r="CM82" s="20" t="str">
        <f>ZZZ__FnCalls!F90</f>
        <v>MMM 2016</v>
      </c>
      <c r="CN82" s="21" t="str">
        <f>ZZZ__FnCalls!H79</f>
        <v>2016</v>
      </c>
      <c r="CO82" s="20" t="str">
        <f>ZZZ__FnCalls!F91</f>
        <v>MMM 2017</v>
      </c>
      <c r="CP82" s="20" t="str">
        <f>ZZZ__FnCalls!F92</f>
        <v>MMM 2017</v>
      </c>
      <c r="CQ82" s="20" t="str">
        <f>ZZZ__FnCalls!F93</f>
        <v>MMM 2017</v>
      </c>
      <c r="CR82" s="20" t="str">
        <f>ZZZ__FnCalls!F94</f>
        <v>MMM 2017</v>
      </c>
      <c r="CS82" s="20" t="str">
        <f>ZZZ__FnCalls!F95</f>
        <v>MMM 2017</v>
      </c>
      <c r="CT82" s="20" t="str">
        <f>ZZZ__FnCalls!F96</f>
        <v>MMM 2017</v>
      </c>
      <c r="CU82" s="20" t="str">
        <f>ZZZ__FnCalls!F97</f>
        <v>MMM 2017</v>
      </c>
      <c r="CV82" s="20" t="str">
        <f>ZZZ__FnCalls!F98</f>
        <v>MMM 2017</v>
      </c>
      <c r="CW82" s="20" t="str">
        <f>ZZZ__FnCalls!F99</f>
        <v>MMM 2017</v>
      </c>
      <c r="CX82" s="20" t="str">
        <f>ZZZ__FnCalls!F100</f>
        <v>MMM 2017</v>
      </c>
      <c r="CY82" s="20" t="str">
        <f>ZZZ__FnCalls!F101</f>
        <v>MMM 2017</v>
      </c>
      <c r="CZ82" s="20" t="str">
        <f>ZZZ__FnCalls!F102</f>
        <v>MMM 2017</v>
      </c>
      <c r="DA82" s="21" t="str">
        <f>ZZZ__FnCalls!H91</f>
        <v>2017</v>
      </c>
      <c r="DB82" s="20" t="str">
        <f>ZZZ__FnCalls!F103</f>
        <v>MMM 2018</v>
      </c>
      <c r="DC82" s="20" t="str">
        <f>ZZZ__FnCalls!F104</f>
        <v>MMM 2018</v>
      </c>
      <c r="DD82" s="20" t="str">
        <f>ZZZ__FnCalls!F105</f>
        <v>MMM 2018</v>
      </c>
      <c r="DE82" s="20" t="str">
        <f>ZZZ__FnCalls!F106</f>
        <v>MMM 2018</v>
      </c>
      <c r="DF82" s="20" t="str">
        <f>ZZZ__FnCalls!F107</f>
        <v>MMM 2018</v>
      </c>
      <c r="DG82" s="20" t="str">
        <f>ZZZ__FnCalls!F108</f>
        <v>MMM 2018</v>
      </c>
      <c r="DH82" s="20" t="str">
        <f>ZZZ__FnCalls!F109</f>
        <v>MMM 2018</v>
      </c>
      <c r="DI82" s="20" t="str">
        <f>ZZZ__FnCalls!F110</f>
        <v>MMM 2018</v>
      </c>
      <c r="DJ82" s="20" t="str">
        <f>ZZZ__FnCalls!F111</f>
        <v>MMM 2018</v>
      </c>
      <c r="DK82" s="20" t="str">
        <f>ZZZ__FnCalls!F112</f>
        <v>MMM 2018</v>
      </c>
      <c r="DL82" s="20" t="str">
        <f>ZZZ__FnCalls!F113</f>
        <v>MMM 2018</v>
      </c>
      <c r="DM82" s="20" t="str">
        <f>ZZZ__FnCalls!F114</f>
        <v>MMM 2018</v>
      </c>
      <c r="DN82" s="21" t="str">
        <f>ZZZ__FnCalls!H103</f>
        <v>2018</v>
      </c>
      <c r="DO82" s="20" t="str">
        <f>ZZZ__FnCalls!F115</f>
        <v>MMM 2019</v>
      </c>
      <c r="DP82" s="20" t="str">
        <f>ZZZ__FnCalls!F116</f>
        <v>MMM 2019</v>
      </c>
      <c r="DQ82" s="20" t="str">
        <f>ZZZ__FnCalls!F117</f>
        <v>MMM 2019</v>
      </c>
      <c r="DR82" s="20" t="str">
        <f>ZZZ__FnCalls!F118</f>
        <v>MMM 2019</v>
      </c>
      <c r="DS82" s="20" t="str">
        <f>ZZZ__FnCalls!F119</f>
        <v>MMM 2019</v>
      </c>
      <c r="DT82" s="20" t="str">
        <f>ZZZ__FnCalls!F120</f>
        <v>MMM 2019</v>
      </c>
      <c r="DU82" s="20" t="str">
        <f>ZZZ__FnCalls!F121</f>
        <v>MMM 2019</v>
      </c>
      <c r="DV82" s="20" t="str">
        <f>ZZZ__FnCalls!F122</f>
        <v>MMM 2019</v>
      </c>
      <c r="DW82" s="20" t="str">
        <f>ZZZ__FnCalls!F123</f>
        <v>MMM 2019</v>
      </c>
      <c r="DX82" s="20" t="str">
        <f>ZZZ__FnCalls!F124</f>
        <v>MMM 2019</v>
      </c>
      <c r="DY82" s="20" t="str">
        <f>ZZZ__FnCalls!F125</f>
        <v>MMM 2019</v>
      </c>
      <c r="DZ82" s="20" t="str">
        <f>ZZZ__FnCalls!F126</f>
        <v>MMM 2019</v>
      </c>
      <c r="EA82" s="21" t="str">
        <f>ZZZ__FnCalls!H115</f>
        <v>2019</v>
      </c>
      <c r="EB82" s="20" t="str">
        <f>ZZZ__FnCalls!F127</f>
        <v>MMM 2020</v>
      </c>
      <c r="EC82" s="20" t="str">
        <f>ZZZ__FnCalls!F128</f>
        <v>MMM 2020</v>
      </c>
      <c r="ED82" s="20" t="str">
        <f>ZZZ__FnCalls!F129</f>
        <v>MMM 2020</v>
      </c>
      <c r="EE82" s="20" t="str">
        <f>ZZZ__FnCalls!F130</f>
        <v>MMM 2020</v>
      </c>
      <c r="EF82" s="20" t="str">
        <f>ZZZ__FnCalls!F131</f>
        <v>MMM 2020</v>
      </c>
      <c r="EG82" s="20" t="str">
        <f>ZZZ__FnCalls!F132</f>
        <v>MMM 2020</v>
      </c>
      <c r="EH82" s="20" t="str">
        <f>ZZZ__FnCalls!F133</f>
        <v>MMM 2020</v>
      </c>
      <c r="EI82" s="20" t="str">
        <f>ZZZ__FnCalls!F134</f>
        <v>MMM 2020</v>
      </c>
      <c r="EJ82" s="20" t="str">
        <f>ZZZ__FnCalls!F135</f>
        <v>MMM 2020</v>
      </c>
      <c r="EK82" s="20" t="str">
        <f>ZZZ__FnCalls!F136</f>
        <v>MMM 2020</v>
      </c>
      <c r="EL82" s="20" t="str">
        <f>ZZZ__FnCalls!F137</f>
        <v>MMM 2020</v>
      </c>
      <c r="EM82" s="20" t="str">
        <f>ZZZ__FnCalls!F138</f>
        <v>MMM 2020</v>
      </c>
      <c r="EN82" s="21" t="str">
        <f>ZZZ__FnCalls!H127</f>
        <v>2020</v>
      </c>
    </row>
    <row r="83" spans="1:144" ht="12.75" customHeight="1" x14ac:dyDescent="0.2">
      <c r="A83" s="5"/>
      <c r="B83" s="46" t="str">
        <f>ZZZ__FnCalls!F7</f>
        <v>MMM 2010</v>
      </c>
      <c r="C83" s="46" t="str">
        <f>ZZZ__FnCalls!F8</f>
        <v>MMM 2010</v>
      </c>
      <c r="D83" s="46" t="str">
        <f>ZZZ__FnCalls!F9</f>
        <v>MMM 2010</v>
      </c>
      <c r="E83" s="46" t="str">
        <f>ZZZ__FnCalls!F10</f>
        <v>MMM 2010</v>
      </c>
      <c r="F83" s="46" t="str">
        <f>ZZZ__FnCalls!F11</f>
        <v>MMM 2010</v>
      </c>
      <c r="G83" s="46" t="str">
        <f>ZZZ__FnCalls!F12</f>
        <v>MMM 2010</v>
      </c>
      <c r="H83" s="46" t="str">
        <f>ZZZ__FnCalls!F13</f>
        <v>MMM 2010</v>
      </c>
      <c r="I83" s="46" t="str">
        <f>ZZZ__FnCalls!F14</f>
        <v>MMM 2010</v>
      </c>
      <c r="J83" s="46" t="str">
        <f>ZZZ__FnCalls!F15</f>
        <v>MMM 2010</v>
      </c>
      <c r="K83" s="46" t="str">
        <f>ZZZ__FnCalls!F16</f>
        <v>MMM 2010</v>
      </c>
      <c r="L83" s="46" t="str">
        <f>ZZZ__FnCalls!F17</f>
        <v>MMM 2010</v>
      </c>
      <c r="M83" s="46" t="str">
        <f>ZZZ__FnCalls!F18</f>
        <v>MMM 2010</v>
      </c>
      <c r="N83" s="47" t="str">
        <f>ZZZ__FnCalls!F7</f>
        <v>MMM 2010</v>
      </c>
      <c r="O83" s="46" t="str">
        <f>ZZZ__FnCalls!F19</f>
        <v>MMM 2011</v>
      </c>
      <c r="P83" s="46" t="str">
        <f>ZZZ__FnCalls!F20</f>
        <v>MMM 2011</v>
      </c>
      <c r="Q83" s="46" t="str">
        <f>ZZZ__FnCalls!F21</f>
        <v>MMM 2011</v>
      </c>
      <c r="R83" s="46" t="str">
        <f>ZZZ__FnCalls!F22</f>
        <v>MMM 2011</v>
      </c>
      <c r="S83" s="46" t="str">
        <f>ZZZ__FnCalls!F23</f>
        <v>MMM 2011</v>
      </c>
      <c r="T83" s="46" t="str">
        <f>ZZZ__FnCalls!F24</f>
        <v>MMM 2011</v>
      </c>
      <c r="U83" s="46" t="str">
        <f>ZZZ__FnCalls!F25</f>
        <v>MMM 2011</v>
      </c>
      <c r="V83" s="46" t="str">
        <f>ZZZ__FnCalls!F26</f>
        <v>MMM 2011</v>
      </c>
      <c r="W83" s="46" t="str">
        <f>ZZZ__FnCalls!F27</f>
        <v>MMM 2011</v>
      </c>
      <c r="X83" s="46" t="str">
        <f>ZZZ__FnCalls!F28</f>
        <v>MMM 2011</v>
      </c>
      <c r="Y83" s="46" t="str">
        <f>ZZZ__FnCalls!F29</f>
        <v>MMM 2011</v>
      </c>
      <c r="Z83" s="46" t="str">
        <f>ZZZ__FnCalls!F30</f>
        <v>MMM 2011</v>
      </c>
      <c r="AA83" s="47" t="str">
        <f>ZZZ__FnCalls!F19</f>
        <v>MMM 2011</v>
      </c>
      <c r="AB83" s="46" t="str">
        <f>ZZZ__FnCalls!F31</f>
        <v>MMM 2012</v>
      </c>
      <c r="AC83" s="46" t="str">
        <f>ZZZ__FnCalls!F32</f>
        <v>MMM 2012</v>
      </c>
      <c r="AD83" s="46" t="str">
        <f>ZZZ__FnCalls!F33</f>
        <v>MMM 2012</v>
      </c>
      <c r="AE83" s="46" t="str">
        <f>ZZZ__FnCalls!F34</f>
        <v>MMM 2012</v>
      </c>
      <c r="AF83" s="46" t="str">
        <f>ZZZ__FnCalls!F35</f>
        <v>MMM 2012</v>
      </c>
      <c r="AG83" s="46" t="str">
        <f>ZZZ__FnCalls!F36</f>
        <v>MMM 2012</v>
      </c>
      <c r="AH83" s="46" t="str">
        <f>ZZZ__FnCalls!F37</f>
        <v>MMM 2012</v>
      </c>
      <c r="AI83" s="46" t="str">
        <f>ZZZ__FnCalls!F38</f>
        <v>MMM 2012</v>
      </c>
      <c r="AJ83" s="46" t="str">
        <f>ZZZ__FnCalls!F39</f>
        <v>MMM 2012</v>
      </c>
      <c r="AK83" s="46" t="str">
        <f>ZZZ__FnCalls!F40</f>
        <v>MMM 2012</v>
      </c>
      <c r="AL83" s="46" t="str">
        <f>ZZZ__FnCalls!F41</f>
        <v>MMM 2012</v>
      </c>
      <c r="AM83" s="46" t="str">
        <f>ZZZ__FnCalls!F42</f>
        <v>MMM 2012</v>
      </c>
      <c r="AN83" s="47" t="str">
        <f>ZZZ__FnCalls!F31</f>
        <v>MMM 2012</v>
      </c>
      <c r="AO83" s="46" t="str">
        <f>ZZZ__FnCalls!F43</f>
        <v>MMM 2013</v>
      </c>
      <c r="AP83" s="46" t="str">
        <f>ZZZ__FnCalls!F44</f>
        <v>MMM 2013</v>
      </c>
      <c r="AQ83" s="46" t="str">
        <f>ZZZ__FnCalls!F45</f>
        <v>MMM 2013</v>
      </c>
      <c r="AR83" s="46" t="str">
        <f>ZZZ__FnCalls!F46</f>
        <v>MMM 2013</v>
      </c>
      <c r="AS83" s="46" t="str">
        <f>ZZZ__FnCalls!F47</f>
        <v>MMM 2013</v>
      </c>
      <c r="AT83" s="46" t="str">
        <f>ZZZ__FnCalls!F48</f>
        <v>MMM 2013</v>
      </c>
      <c r="AU83" s="46" t="str">
        <f>ZZZ__FnCalls!F49</f>
        <v>MMM 2013</v>
      </c>
      <c r="AV83" s="46" t="str">
        <f>ZZZ__FnCalls!F50</f>
        <v>MMM 2013</v>
      </c>
      <c r="AW83" s="46" t="str">
        <f>ZZZ__FnCalls!F51</f>
        <v>MMM 2013</v>
      </c>
      <c r="AX83" s="46" t="str">
        <f>ZZZ__FnCalls!F52</f>
        <v>MMM 2013</v>
      </c>
      <c r="AY83" s="46" t="str">
        <f>ZZZ__FnCalls!F53</f>
        <v>MMM 2013</v>
      </c>
      <c r="AZ83" s="46" t="str">
        <f>ZZZ__FnCalls!F54</f>
        <v>MMM 2013</v>
      </c>
      <c r="BA83" s="47" t="str">
        <f>ZZZ__FnCalls!F43</f>
        <v>MMM 2013</v>
      </c>
      <c r="BB83" s="46" t="str">
        <f>ZZZ__FnCalls!F55</f>
        <v>MMM 2014</v>
      </c>
      <c r="BC83" s="46" t="str">
        <f>ZZZ__FnCalls!F56</f>
        <v>MMM 2014</v>
      </c>
      <c r="BD83" s="46" t="str">
        <f>ZZZ__FnCalls!F57</f>
        <v>MMM 2014</v>
      </c>
      <c r="BE83" s="46" t="str">
        <f>ZZZ__FnCalls!F58</f>
        <v>MMM 2014</v>
      </c>
      <c r="BF83" s="46" t="str">
        <f>ZZZ__FnCalls!F59</f>
        <v>MMM 2014</v>
      </c>
      <c r="BG83" s="46" t="str">
        <f>ZZZ__FnCalls!F60</f>
        <v>MMM 2014</v>
      </c>
      <c r="BH83" s="46" t="str">
        <f>ZZZ__FnCalls!F61</f>
        <v>MMM 2014</v>
      </c>
      <c r="BI83" s="46" t="str">
        <f>ZZZ__FnCalls!F62</f>
        <v>MMM 2014</v>
      </c>
      <c r="BJ83" s="46" t="str">
        <f>ZZZ__FnCalls!F63</f>
        <v>MMM 2014</v>
      </c>
      <c r="BK83" s="46" t="str">
        <f>ZZZ__FnCalls!F64</f>
        <v>MMM 2014</v>
      </c>
      <c r="BL83" s="46" t="str">
        <f>ZZZ__FnCalls!F65</f>
        <v>MMM 2014</v>
      </c>
      <c r="BM83" s="46" t="str">
        <f>ZZZ__FnCalls!F66</f>
        <v>MMM 2014</v>
      </c>
      <c r="BN83" s="47" t="str">
        <f>ZZZ__FnCalls!F55</f>
        <v>MMM 2014</v>
      </c>
      <c r="BO83" s="46" t="str">
        <f>ZZZ__FnCalls!F67</f>
        <v>MMM 2015</v>
      </c>
      <c r="BP83" s="46" t="str">
        <f>ZZZ__FnCalls!F68</f>
        <v>MMM 2015</v>
      </c>
      <c r="BQ83" s="46" t="str">
        <f>ZZZ__FnCalls!F69</f>
        <v>MMM 2015</v>
      </c>
      <c r="BR83" s="46" t="str">
        <f>ZZZ__FnCalls!F70</f>
        <v>MMM 2015</v>
      </c>
      <c r="BS83" s="46" t="str">
        <f>ZZZ__FnCalls!F71</f>
        <v>MMM 2015</v>
      </c>
      <c r="BT83" s="46" t="str">
        <f>ZZZ__FnCalls!F72</f>
        <v>MMM 2015</v>
      </c>
      <c r="BU83" s="46" t="str">
        <f>ZZZ__FnCalls!F73</f>
        <v>MMM 2015</v>
      </c>
      <c r="BV83" s="46" t="str">
        <f>ZZZ__FnCalls!F74</f>
        <v>MMM 2015</v>
      </c>
      <c r="BW83" s="46" t="str">
        <f>ZZZ__FnCalls!F75</f>
        <v>MMM 2015</v>
      </c>
      <c r="BX83" s="46" t="str">
        <f>ZZZ__FnCalls!F76</f>
        <v>MMM 2015</v>
      </c>
      <c r="BY83" s="46" t="str">
        <f>ZZZ__FnCalls!F77</f>
        <v>MMM 2015</v>
      </c>
      <c r="BZ83" s="46" t="str">
        <f>ZZZ__FnCalls!F78</f>
        <v>MMM 2015</v>
      </c>
      <c r="CA83" s="47" t="str">
        <f>ZZZ__FnCalls!F67</f>
        <v>MMM 2015</v>
      </c>
      <c r="CB83" s="46" t="str">
        <f>ZZZ__FnCalls!F79</f>
        <v>MMM 2016</v>
      </c>
      <c r="CC83" s="46" t="str">
        <f>ZZZ__FnCalls!F80</f>
        <v>MMM 2016</v>
      </c>
      <c r="CD83" s="46" t="str">
        <f>ZZZ__FnCalls!F81</f>
        <v>MMM 2016</v>
      </c>
      <c r="CE83" s="46" t="str">
        <f>ZZZ__FnCalls!F82</f>
        <v>MMM 2016</v>
      </c>
      <c r="CF83" s="46" t="str">
        <f>ZZZ__FnCalls!F83</f>
        <v>MMM 2016</v>
      </c>
      <c r="CG83" s="46" t="str">
        <f>ZZZ__FnCalls!F84</f>
        <v>MMM 2016</v>
      </c>
      <c r="CH83" s="46" t="str">
        <f>ZZZ__FnCalls!F85</f>
        <v>MMM 2016</v>
      </c>
      <c r="CI83" s="46" t="str">
        <f>ZZZ__FnCalls!F86</f>
        <v>MMM 2016</v>
      </c>
      <c r="CJ83" s="46" t="str">
        <f>ZZZ__FnCalls!F87</f>
        <v>MMM 2016</v>
      </c>
      <c r="CK83" s="46" t="str">
        <f>ZZZ__FnCalls!F88</f>
        <v>MMM 2016</v>
      </c>
      <c r="CL83" s="46" t="str">
        <f>ZZZ__FnCalls!F89</f>
        <v>MMM 2016</v>
      </c>
      <c r="CM83" s="46" t="str">
        <f>ZZZ__FnCalls!F90</f>
        <v>MMM 2016</v>
      </c>
      <c r="CN83" s="47" t="str">
        <f>ZZZ__FnCalls!F79</f>
        <v>MMM 2016</v>
      </c>
      <c r="CO83" s="46" t="str">
        <f>ZZZ__FnCalls!F91</f>
        <v>MMM 2017</v>
      </c>
      <c r="CP83" s="46" t="str">
        <f>ZZZ__FnCalls!F92</f>
        <v>MMM 2017</v>
      </c>
      <c r="CQ83" s="46" t="str">
        <f>ZZZ__FnCalls!F93</f>
        <v>MMM 2017</v>
      </c>
      <c r="CR83" s="46" t="str">
        <f>ZZZ__FnCalls!F94</f>
        <v>MMM 2017</v>
      </c>
      <c r="CS83" s="46" t="str">
        <f>ZZZ__FnCalls!F95</f>
        <v>MMM 2017</v>
      </c>
      <c r="CT83" s="46" t="str">
        <f>ZZZ__FnCalls!F96</f>
        <v>MMM 2017</v>
      </c>
      <c r="CU83" s="46" t="str">
        <f>ZZZ__FnCalls!F97</f>
        <v>MMM 2017</v>
      </c>
      <c r="CV83" s="46" t="str">
        <f>ZZZ__FnCalls!F98</f>
        <v>MMM 2017</v>
      </c>
      <c r="CW83" s="46" t="str">
        <f>ZZZ__FnCalls!F99</f>
        <v>MMM 2017</v>
      </c>
      <c r="CX83" s="46" t="str">
        <f>ZZZ__FnCalls!F100</f>
        <v>MMM 2017</v>
      </c>
      <c r="CY83" s="46" t="str">
        <f>ZZZ__FnCalls!F101</f>
        <v>MMM 2017</v>
      </c>
      <c r="CZ83" s="46" t="str">
        <f>ZZZ__FnCalls!F102</f>
        <v>MMM 2017</v>
      </c>
      <c r="DA83" s="47" t="str">
        <f>ZZZ__FnCalls!F91</f>
        <v>MMM 2017</v>
      </c>
      <c r="DB83" s="46" t="str">
        <f>ZZZ__FnCalls!F103</f>
        <v>MMM 2018</v>
      </c>
      <c r="DC83" s="46" t="str">
        <f>ZZZ__FnCalls!F104</f>
        <v>MMM 2018</v>
      </c>
      <c r="DD83" s="46" t="str">
        <f>ZZZ__FnCalls!F105</f>
        <v>MMM 2018</v>
      </c>
      <c r="DE83" s="46" t="str">
        <f>ZZZ__FnCalls!F106</f>
        <v>MMM 2018</v>
      </c>
      <c r="DF83" s="46" t="str">
        <f>ZZZ__FnCalls!F107</f>
        <v>MMM 2018</v>
      </c>
      <c r="DG83" s="46" t="str">
        <f>ZZZ__FnCalls!F108</f>
        <v>MMM 2018</v>
      </c>
      <c r="DH83" s="46" t="str">
        <f>ZZZ__FnCalls!F109</f>
        <v>MMM 2018</v>
      </c>
      <c r="DI83" s="46" t="str">
        <f>ZZZ__FnCalls!F110</f>
        <v>MMM 2018</v>
      </c>
      <c r="DJ83" s="46" t="str">
        <f>ZZZ__FnCalls!F111</f>
        <v>MMM 2018</v>
      </c>
      <c r="DK83" s="46" t="str">
        <f>ZZZ__FnCalls!F112</f>
        <v>MMM 2018</v>
      </c>
      <c r="DL83" s="46" t="str">
        <f>ZZZ__FnCalls!F113</f>
        <v>MMM 2018</v>
      </c>
      <c r="DM83" s="46" t="str">
        <f>ZZZ__FnCalls!F114</f>
        <v>MMM 2018</v>
      </c>
      <c r="DN83" s="47" t="str">
        <f>ZZZ__FnCalls!F103</f>
        <v>MMM 2018</v>
      </c>
      <c r="DO83" s="46" t="str">
        <f>ZZZ__FnCalls!F115</f>
        <v>MMM 2019</v>
      </c>
      <c r="DP83" s="46" t="str">
        <f>ZZZ__FnCalls!F116</f>
        <v>MMM 2019</v>
      </c>
      <c r="DQ83" s="46" t="str">
        <f>ZZZ__FnCalls!F117</f>
        <v>MMM 2019</v>
      </c>
      <c r="DR83" s="46" t="str">
        <f>ZZZ__FnCalls!F118</f>
        <v>MMM 2019</v>
      </c>
      <c r="DS83" s="46" t="str">
        <f>ZZZ__FnCalls!F119</f>
        <v>MMM 2019</v>
      </c>
      <c r="DT83" s="46" t="str">
        <f>ZZZ__FnCalls!F120</f>
        <v>MMM 2019</v>
      </c>
      <c r="DU83" s="46" t="str">
        <f>ZZZ__FnCalls!F121</f>
        <v>MMM 2019</v>
      </c>
      <c r="DV83" s="46" t="str">
        <f>ZZZ__FnCalls!F122</f>
        <v>MMM 2019</v>
      </c>
      <c r="DW83" s="46" t="str">
        <f>ZZZ__FnCalls!F123</f>
        <v>MMM 2019</v>
      </c>
      <c r="DX83" s="46" t="str">
        <f>ZZZ__FnCalls!F124</f>
        <v>MMM 2019</v>
      </c>
      <c r="DY83" s="46" t="str">
        <f>ZZZ__FnCalls!F125</f>
        <v>MMM 2019</v>
      </c>
      <c r="DZ83" s="46" t="str">
        <f>ZZZ__FnCalls!F126</f>
        <v>MMM 2019</v>
      </c>
      <c r="EA83" s="47" t="str">
        <f>ZZZ__FnCalls!F115</f>
        <v>MMM 2019</v>
      </c>
      <c r="EB83" s="46" t="str">
        <f>ZZZ__FnCalls!F127</f>
        <v>MMM 2020</v>
      </c>
      <c r="EC83" s="46" t="str">
        <f>ZZZ__FnCalls!F128</f>
        <v>MMM 2020</v>
      </c>
      <c r="ED83" s="46" t="str">
        <f>ZZZ__FnCalls!F129</f>
        <v>MMM 2020</v>
      </c>
      <c r="EE83" s="46" t="str">
        <f>ZZZ__FnCalls!F130</f>
        <v>MMM 2020</v>
      </c>
      <c r="EF83" s="46" t="str">
        <f>ZZZ__FnCalls!F131</f>
        <v>MMM 2020</v>
      </c>
      <c r="EG83" s="46" t="str">
        <f>ZZZ__FnCalls!F132</f>
        <v>MMM 2020</v>
      </c>
      <c r="EH83" s="46" t="str">
        <f>ZZZ__FnCalls!F133</f>
        <v>MMM 2020</v>
      </c>
      <c r="EI83" s="46" t="str">
        <f>ZZZ__FnCalls!F134</f>
        <v>MMM 2020</v>
      </c>
      <c r="EJ83" s="46" t="str">
        <f>ZZZ__FnCalls!F135</f>
        <v>MMM 2020</v>
      </c>
      <c r="EK83" s="46" t="str">
        <f>ZZZ__FnCalls!F136</f>
        <v>MMM 2020</v>
      </c>
      <c r="EL83" s="46" t="str">
        <f>ZZZ__FnCalls!F137</f>
        <v>MMM 2020</v>
      </c>
      <c r="EM83" s="46" t="str">
        <f>ZZZ__FnCalls!F138</f>
        <v>MMM 2020</v>
      </c>
      <c r="EN83" s="47" t="str">
        <f>ZZZ__FnCalls!F127</f>
        <v>MMM 2020</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4"/>
  <sheetViews>
    <sheetView workbookViewId="0"/>
  </sheetViews>
  <sheetFormatPr defaultRowHeight="12.75" customHeight="1" x14ac:dyDescent="0.2"/>
  <cols>
    <col min="1" max="1" width="15.28515625" customWidth="1"/>
    <col min="2" max="2" width="8.5703125" customWidth="1"/>
    <col min="3" max="3" width="8.7109375" customWidth="1"/>
    <col min="4" max="5" width="8.5703125" customWidth="1"/>
    <col min="6" max="6" width="8.85546875" customWidth="1"/>
    <col min="7" max="7" width="8.7109375" customWidth="1"/>
    <col min="8" max="8" width="8.140625" customWidth="1"/>
    <col min="9" max="9" width="9" customWidth="1"/>
    <col min="10" max="10" width="8.7109375" customWidth="1"/>
    <col min="11" max="11" width="8.5703125" customWidth="1"/>
    <col min="12" max="12" width="8.85546875" customWidth="1"/>
    <col min="13" max="13" width="8.7109375" customWidth="1"/>
    <col min="14" max="14" width="5.42578125" customWidth="1"/>
    <col min="15" max="15" width="8.5703125" customWidth="1"/>
    <col min="16" max="16" width="8.7109375" customWidth="1"/>
    <col min="17" max="18" width="8.5703125" customWidth="1"/>
    <col min="19" max="19" width="8.85546875" customWidth="1"/>
    <col min="20" max="20" width="8.7109375" customWidth="1"/>
    <col min="21" max="21" width="8.140625" customWidth="1"/>
    <col min="22" max="22" width="8.85546875" customWidth="1"/>
    <col min="23" max="23" width="8.7109375" customWidth="1"/>
    <col min="24" max="24" width="8.42578125" customWidth="1"/>
    <col min="25" max="25" width="8.85546875" customWidth="1"/>
    <col min="26" max="26" width="8.7109375" customWidth="1"/>
    <col min="27" max="27" width="5.42578125" customWidth="1"/>
    <col min="28" max="28" width="8.5703125" customWidth="1"/>
    <col min="29" max="29" width="8.7109375" customWidth="1"/>
    <col min="30" max="31" width="8.5703125" customWidth="1"/>
    <col min="32" max="32" width="8.85546875" customWidth="1"/>
    <col min="33" max="33" width="8.7109375" customWidth="1"/>
    <col min="34" max="34" width="8.140625" customWidth="1"/>
    <col min="35" max="35" width="9" customWidth="1"/>
    <col min="36" max="36" width="8.7109375" customWidth="1"/>
    <col min="37" max="37" width="8.5703125" customWidth="1"/>
    <col min="38" max="38" width="8.85546875" customWidth="1"/>
    <col min="39" max="39" width="8.7109375" customWidth="1"/>
    <col min="40" max="40" width="5.42578125" customWidth="1"/>
    <col min="41" max="41" width="8.5703125" customWidth="1"/>
    <col min="42" max="42" width="8.7109375" customWidth="1"/>
    <col min="43" max="44" width="8.5703125" customWidth="1"/>
    <col min="45" max="45" width="8.85546875" customWidth="1"/>
    <col min="46" max="46" width="8.7109375" customWidth="1"/>
    <col min="47" max="47" width="8.140625" customWidth="1"/>
    <col min="48" max="48" width="9" customWidth="1"/>
    <col min="49" max="49" width="8.7109375" customWidth="1"/>
    <col min="50" max="50" width="8.5703125" customWidth="1"/>
    <col min="51" max="51" width="8.85546875" customWidth="1"/>
    <col min="52" max="52" width="8.7109375" customWidth="1"/>
    <col min="53" max="53" width="5.42578125" customWidth="1"/>
    <col min="54" max="54" width="8.5703125" customWidth="1"/>
    <col min="55" max="55" width="8.7109375" customWidth="1"/>
    <col min="56" max="57" width="8.5703125" customWidth="1"/>
    <col min="58" max="58" width="8.85546875" customWidth="1"/>
    <col min="59" max="59" width="8.7109375" customWidth="1"/>
    <col min="60" max="60" width="8.140625" customWidth="1"/>
    <col min="61" max="61" width="9" customWidth="1"/>
    <col min="62" max="62" width="8.7109375" customWidth="1"/>
    <col min="63" max="63" width="8.5703125" customWidth="1"/>
    <col min="64" max="64" width="8.85546875" customWidth="1"/>
    <col min="65" max="65" width="8.7109375" customWidth="1"/>
    <col min="66" max="66" width="5.42578125" customWidth="1"/>
    <col min="67" max="67" width="8.5703125" customWidth="1"/>
    <col min="68" max="68" width="8.7109375" customWidth="1"/>
    <col min="69" max="70" width="8.5703125" customWidth="1"/>
    <col min="71" max="71" width="8.85546875" customWidth="1"/>
    <col min="72" max="72" width="8.7109375" customWidth="1"/>
    <col min="73" max="73" width="8.140625" customWidth="1"/>
    <col min="74" max="74" width="9" customWidth="1"/>
    <col min="75" max="75" width="8.7109375" customWidth="1"/>
    <col min="76" max="76" width="8.5703125" customWidth="1"/>
    <col min="77" max="77" width="8.85546875" customWidth="1"/>
    <col min="78" max="78" width="8.7109375" customWidth="1"/>
    <col min="79" max="79" width="5.42578125" customWidth="1"/>
    <col min="80" max="80" width="8.5703125" customWidth="1"/>
    <col min="81" max="81" width="8.7109375" customWidth="1"/>
    <col min="82" max="83" width="8.5703125" customWidth="1"/>
    <col min="84" max="84" width="8.85546875" customWidth="1"/>
    <col min="85" max="85" width="8.7109375" customWidth="1"/>
    <col min="86" max="86" width="8.140625" customWidth="1"/>
    <col min="87" max="87" width="9" customWidth="1"/>
    <col min="88" max="88" width="8.7109375" customWidth="1"/>
    <col min="89" max="89" width="8.5703125" customWidth="1"/>
    <col min="90" max="90" width="8.85546875" customWidth="1"/>
    <col min="91" max="91" width="8.7109375" customWidth="1"/>
    <col min="92" max="92" width="5.42578125" customWidth="1"/>
    <col min="93" max="93" width="8.5703125" customWidth="1"/>
    <col min="94" max="94" width="8.7109375" customWidth="1"/>
    <col min="95" max="96" width="8.5703125" customWidth="1"/>
    <col min="97" max="97" width="8.85546875" customWidth="1"/>
    <col min="98" max="98" width="8.7109375" customWidth="1"/>
    <col min="99" max="99" width="8.140625" customWidth="1"/>
    <col min="100" max="100" width="9" customWidth="1"/>
    <col min="101" max="101" width="8.7109375" customWidth="1"/>
    <col min="102" max="102" width="8.5703125" customWidth="1"/>
    <col min="103" max="103" width="8.85546875" customWidth="1"/>
    <col min="104" max="104" width="8.7109375" customWidth="1"/>
    <col min="105" max="105" width="5.42578125" customWidth="1"/>
    <col min="106" max="106" width="8.5703125" customWidth="1"/>
    <col min="107" max="107" width="8.7109375" customWidth="1"/>
    <col min="108" max="109" width="8.5703125" customWidth="1"/>
    <col min="110" max="110" width="8.85546875" customWidth="1"/>
    <col min="111" max="111" width="8.7109375" customWidth="1"/>
    <col min="112" max="112" width="8.140625" customWidth="1"/>
    <col min="113" max="113" width="9" customWidth="1"/>
    <col min="114" max="114" width="8.7109375" customWidth="1"/>
    <col min="115" max="115" width="8.5703125" customWidth="1"/>
    <col min="116" max="116" width="8.85546875" customWidth="1"/>
    <col min="117" max="117" width="8.7109375" customWidth="1"/>
    <col min="118" max="118" width="5.42578125" customWidth="1"/>
    <col min="119" max="119" width="8.5703125" customWidth="1"/>
    <col min="120" max="120" width="8.7109375" customWidth="1"/>
    <col min="121" max="122" width="8.5703125" customWidth="1"/>
    <col min="123" max="123" width="8.85546875" customWidth="1"/>
    <col min="124" max="124" width="8.7109375" customWidth="1"/>
    <col min="125" max="125" width="8.140625" customWidth="1"/>
    <col min="126" max="126" width="9" customWidth="1"/>
    <col min="127" max="127" width="8.7109375" customWidth="1"/>
    <col min="128" max="128" width="8.5703125" customWidth="1"/>
    <col min="129" max="129" width="8.85546875" customWidth="1"/>
    <col min="130" max="130" width="8.7109375" customWidth="1"/>
    <col min="131" max="131" width="5.85546875" customWidth="1"/>
    <col min="132" max="132" width="8.5703125" customWidth="1"/>
    <col min="133" max="133" width="8.7109375" customWidth="1"/>
    <col min="134" max="135" width="8.5703125" customWidth="1"/>
    <col min="136" max="136" width="8.85546875" customWidth="1"/>
    <col min="137" max="137" width="8.7109375" customWidth="1"/>
    <col min="138" max="138" width="8.140625" customWidth="1"/>
    <col min="139" max="139" width="9" customWidth="1"/>
    <col min="140" max="140" width="8.7109375" customWidth="1"/>
    <col min="141" max="141" width="8.5703125" customWidth="1"/>
    <col min="142" max="142" width="8.85546875" customWidth="1"/>
    <col min="143" max="143" width="8.7109375" customWidth="1"/>
    <col min="144" max="144" width="5.8554687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"(Other Computations)"</f>
        <v>(Other Computations)</v>
      </c>
      <c r="B4" s="112"/>
      <c r="C4" s="112"/>
    </row>
    <row r="5" spans="1:144" ht="12.75" customHeight="1" x14ac:dyDescent="0.2">
      <c r="A5" s="112" t="str">
        <f>""</f>
        <v/>
      </c>
      <c r="B5" s="112"/>
      <c r="C5" s="112"/>
    </row>
    <row r="6" spans="1:144" ht="12.75" customHeight="1" x14ac:dyDescent="0.2">
      <c r="A6" s="2" t="str">
        <f>Labels!B21</f>
        <v>dt</v>
      </c>
    </row>
    <row r="7" spans="1:144" ht="12.75" customHeight="1" x14ac:dyDescent="0.2">
      <c r="B7" s="21"/>
    </row>
    <row r="8" spans="1:144" ht="12.75" customHeight="1" x14ac:dyDescent="0.2">
      <c r="A8" s="5"/>
      <c r="B8" s="48">
        <f>1/12</f>
        <v>8.3333333333333329E-2</v>
      </c>
    </row>
    <row r="9" spans="1:144" ht="12.75" customHeight="1" x14ac:dyDescent="0.2">
      <c r="A9" s="2" t="str">
        <f>Labels!B35</f>
        <v>Long Interest Rate</v>
      </c>
    </row>
    <row r="10" spans="1:144" ht="12.75" customHeight="1" x14ac:dyDescent="0.2">
      <c r="B10" s="21"/>
    </row>
    <row r="11" spans="1:144" ht="12.75" customHeight="1" x14ac:dyDescent="0.2">
      <c r="A11" s="5"/>
      <c r="B11" s="49">
        <f>(1+Inputs!B45)^(1/12)-1</f>
        <v>2.4662697723036864E-3</v>
      </c>
    </row>
    <row r="12" spans="1:144" ht="12.75" customHeight="1" x14ac:dyDescent="0.2">
      <c r="A12" s="2" t="str">
        <f>Labels!B51</f>
        <v>Time</v>
      </c>
    </row>
    <row r="13" spans="1:144" ht="12.75" customHeight="1" x14ac:dyDescent="0.2">
      <c r="B13" s="19" t="str">
        <f>ZZZ__FnCalls!F7</f>
        <v>MMM 2010</v>
      </c>
      <c r="C13" s="20" t="str">
        <f>ZZZ__FnCalls!F8</f>
        <v>MMM 2010</v>
      </c>
      <c r="D13" s="20" t="str">
        <f>ZZZ__FnCalls!F9</f>
        <v>MMM 2010</v>
      </c>
      <c r="E13" s="20" t="str">
        <f>ZZZ__FnCalls!F10</f>
        <v>MMM 2010</v>
      </c>
      <c r="F13" s="20" t="str">
        <f>ZZZ__FnCalls!F11</f>
        <v>MMM 2010</v>
      </c>
      <c r="G13" s="20" t="str">
        <f>ZZZ__FnCalls!F12</f>
        <v>MMM 2010</v>
      </c>
      <c r="H13" s="20" t="str">
        <f>ZZZ__FnCalls!F13</f>
        <v>MMM 2010</v>
      </c>
      <c r="I13" s="20" t="str">
        <f>ZZZ__FnCalls!F14</f>
        <v>MMM 2010</v>
      </c>
      <c r="J13" s="20" t="str">
        <f>ZZZ__FnCalls!F15</f>
        <v>MMM 2010</v>
      </c>
      <c r="K13" s="20" t="str">
        <f>ZZZ__FnCalls!F16</f>
        <v>MMM 2010</v>
      </c>
      <c r="L13" s="20" t="str">
        <f>ZZZ__FnCalls!F17</f>
        <v>MMM 2010</v>
      </c>
      <c r="M13" s="20" t="str">
        <f>ZZZ__FnCalls!F18</f>
        <v>MMM 2010</v>
      </c>
      <c r="N13" s="21" t="str">
        <f>ZZZ__FnCalls!H7</f>
        <v>2010</v>
      </c>
      <c r="O13" s="20" t="str">
        <f>ZZZ__FnCalls!F19</f>
        <v>MMM 2011</v>
      </c>
      <c r="P13" s="20" t="str">
        <f>ZZZ__FnCalls!F20</f>
        <v>MMM 2011</v>
      </c>
      <c r="Q13" s="20" t="str">
        <f>ZZZ__FnCalls!F21</f>
        <v>MMM 2011</v>
      </c>
      <c r="R13" s="20" t="str">
        <f>ZZZ__FnCalls!F22</f>
        <v>MMM 2011</v>
      </c>
      <c r="S13" s="20" t="str">
        <f>ZZZ__FnCalls!F23</f>
        <v>MMM 2011</v>
      </c>
      <c r="T13" s="20" t="str">
        <f>ZZZ__FnCalls!F24</f>
        <v>MMM 2011</v>
      </c>
      <c r="U13" s="20" t="str">
        <f>ZZZ__FnCalls!F25</f>
        <v>MMM 2011</v>
      </c>
      <c r="V13" s="20" t="str">
        <f>ZZZ__FnCalls!F26</f>
        <v>MMM 2011</v>
      </c>
      <c r="W13" s="20" t="str">
        <f>ZZZ__FnCalls!F27</f>
        <v>MMM 2011</v>
      </c>
      <c r="X13" s="20" t="str">
        <f>ZZZ__FnCalls!F28</f>
        <v>MMM 2011</v>
      </c>
      <c r="Y13" s="20" t="str">
        <f>ZZZ__FnCalls!F29</f>
        <v>MMM 2011</v>
      </c>
      <c r="Z13" s="20" t="str">
        <f>ZZZ__FnCalls!F30</f>
        <v>MMM 2011</v>
      </c>
      <c r="AA13" s="21" t="str">
        <f>ZZZ__FnCalls!H19</f>
        <v>2011</v>
      </c>
      <c r="AB13" s="20" t="str">
        <f>ZZZ__FnCalls!F31</f>
        <v>MMM 2012</v>
      </c>
      <c r="AC13" s="20" t="str">
        <f>ZZZ__FnCalls!F32</f>
        <v>MMM 2012</v>
      </c>
      <c r="AD13" s="20" t="str">
        <f>ZZZ__FnCalls!F33</f>
        <v>MMM 2012</v>
      </c>
      <c r="AE13" s="20" t="str">
        <f>ZZZ__FnCalls!F34</f>
        <v>MMM 2012</v>
      </c>
      <c r="AF13" s="20" t="str">
        <f>ZZZ__FnCalls!F35</f>
        <v>MMM 2012</v>
      </c>
      <c r="AG13" s="20" t="str">
        <f>ZZZ__FnCalls!F36</f>
        <v>MMM 2012</v>
      </c>
      <c r="AH13" s="20" t="str">
        <f>ZZZ__FnCalls!F37</f>
        <v>MMM 2012</v>
      </c>
      <c r="AI13" s="20" t="str">
        <f>ZZZ__FnCalls!F38</f>
        <v>MMM 2012</v>
      </c>
      <c r="AJ13" s="20" t="str">
        <f>ZZZ__FnCalls!F39</f>
        <v>MMM 2012</v>
      </c>
      <c r="AK13" s="20" t="str">
        <f>ZZZ__FnCalls!F40</f>
        <v>MMM 2012</v>
      </c>
      <c r="AL13" s="20" t="str">
        <f>ZZZ__FnCalls!F41</f>
        <v>MMM 2012</v>
      </c>
      <c r="AM13" s="20" t="str">
        <f>ZZZ__FnCalls!F42</f>
        <v>MMM 2012</v>
      </c>
      <c r="AN13" s="21" t="str">
        <f>ZZZ__FnCalls!H31</f>
        <v>2012</v>
      </c>
      <c r="AO13" s="20" t="str">
        <f>ZZZ__FnCalls!F43</f>
        <v>MMM 2013</v>
      </c>
      <c r="AP13" s="20" t="str">
        <f>ZZZ__FnCalls!F44</f>
        <v>MMM 2013</v>
      </c>
      <c r="AQ13" s="20" t="str">
        <f>ZZZ__FnCalls!F45</f>
        <v>MMM 2013</v>
      </c>
      <c r="AR13" s="20" t="str">
        <f>ZZZ__FnCalls!F46</f>
        <v>MMM 2013</v>
      </c>
      <c r="AS13" s="20" t="str">
        <f>ZZZ__FnCalls!F47</f>
        <v>MMM 2013</v>
      </c>
      <c r="AT13" s="20" t="str">
        <f>ZZZ__FnCalls!F48</f>
        <v>MMM 2013</v>
      </c>
      <c r="AU13" s="20" t="str">
        <f>ZZZ__FnCalls!F49</f>
        <v>MMM 2013</v>
      </c>
      <c r="AV13" s="20" t="str">
        <f>ZZZ__FnCalls!F50</f>
        <v>MMM 2013</v>
      </c>
      <c r="AW13" s="20" t="str">
        <f>ZZZ__FnCalls!F51</f>
        <v>MMM 2013</v>
      </c>
      <c r="AX13" s="20" t="str">
        <f>ZZZ__FnCalls!F52</f>
        <v>MMM 2013</v>
      </c>
      <c r="AY13" s="20" t="str">
        <f>ZZZ__FnCalls!F53</f>
        <v>MMM 2013</v>
      </c>
      <c r="AZ13" s="20" t="str">
        <f>ZZZ__FnCalls!F54</f>
        <v>MMM 2013</v>
      </c>
      <c r="BA13" s="21" t="str">
        <f>ZZZ__FnCalls!H43</f>
        <v>2013</v>
      </c>
      <c r="BB13" s="20" t="str">
        <f>ZZZ__FnCalls!F55</f>
        <v>MMM 2014</v>
      </c>
      <c r="BC13" s="20" t="str">
        <f>ZZZ__FnCalls!F56</f>
        <v>MMM 2014</v>
      </c>
      <c r="BD13" s="20" t="str">
        <f>ZZZ__FnCalls!F57</f>
        <v>MMM 2014</v>
      </c>
      <c r="BE13" s="20" t="str">
        <f>ZZZ__FnCalls!F58</f>
        <v>MMM 2014</v>
      </c>
      <c r="BF13" s="20" t="str">
        <f>ZZZ__FnCalls!F59</f>
        <v>MMM 2014</v>
      </c>
      <c r="BG13" s="20" t="str">
        <f>ZZZ__FnCalls!F60</f>
        <v>MMM 2014</v>
      </c>
      <c r="BH13" s="20" t="str">
        <f>ZZZ__FnCalls!F61</f>
        <v>MMM 2014</v>
      </c>
      <c r="BI13" s="20" t="str">
        <f>ZZZ__FnCalls!F62</f>
        <v>MMM 2014</v>
      </c>
      <c r="BJ13" s="20" t="str">
        <f>ZZZ__FnCalls!F63</f>
        <v>MMM 2014</v>
      </c>
      <c r="BK13" s="20" t="str">
        <f>ZZZ__FnCalls!F64</f>
        <v>MMM 2014</v>
      </c>
      <c r="BL13" s="20" t="str">
        <f>ZZZ__FnCalls!F65</f>
        <v>MMM 2014</v>
      </c>
      <c r="BM13" s="20" t="str">
        <f>ZZZ__FnCalls!F66</f>
        <v>MMM 2014</v>
      </c>
      <c r="BN13" s="21" t="str">
        <f>ZZZ__FnCalls!H55</f>
        <v>2014</v>
      </c>
      <c r="BO13" s="20" t="str">
        <f>ZZZ__FnCalls!F67</f>
        <v>MMM 2015</v>
      </c>
      <c r="BP13" s="20" t="str">
        <f>ZZZ__FnCalls!F68</f>
        <v>MMM 2015</v>
      </c>
      <c r="BQ13" s="20" t="str">
        <f>ZZZ__FnCalls!F69</f>
        <v>MMM 2015</v>
      </c>
      <c r="BR13" s="20" t="str">
        <f>ZZZ__FnCalls!F70</f>
        <v>MMM 2015</v>
      </c>
      <c r="BS13" s="20" t="str">
        <f>ZZZ__FnCalls!F71</f>
        <v>MMM 2015</v>
      </c>
      <c r="BT13" s="20" t="str">
        <f>ZZZ__FnCalls!F72</f>
        <v>MMM 2015</v>
      </c>
      <c r="BU13" s="20" t="str">
        <f>ZZZ__FnCalls!F73</f>
        <v>MMM 2015</v>
      </c>
      <c r="BV13" s="20" t="str">
        <f>ZZZ__FnCalls!F74</f>
        <v>MMM 2015</v>
      </c>
      <c r="BW13" s="20" t="str">
        <f>ZZZ__FnCalls!F75</f>
        <v>MMM 2015</v>
      </c>
      <c r="BX13" s="20" t="str">
        <f>ZZZ__FnCalls!F76</f>
        <v>MMM 2015</v>
      </c>
      <c r="BY13" s="20" t="str">
        <f>ZZZ__FnCalls!F77</f>
        <v>MMM 2015</v>
      </c>
      <c r="BZ13" s="20" t="str">
        <f>ZZZ__FnCalls!F78</f>
        <v>MMM 2015</v>
      </c>
      <c r="CA13" s="21" t="str">
        <f>ZZZ__FnCalls!H67</f>
        <v>2015</v>
      </c>
      <c r="CB13" s="20" t="str">
        <f>ZZZ__FnCalls!F79</f>
        <v>MMM 2016</v>
      </c>
      <c r="CC13" s="20" t="str">
        <f>ZZZ__FnCalls!F80</f>
        <v>MMM 2016</v>
      </c>
      <c r="CD13" s="20" t="str">
        <f>ZZZ__FnCalls!F81</f>
        <v>MMM 2016</v>
      </c>
      <c r="CE13" s="20" t="str">
        <f>ZZZ__FnCalls!F82</f>
        <v>MMM 2016</v>
      </c>
      <c r="CF13" s="20" t="str">
        <f>ZZZ__FnCalls!F83</f>
        <v>MMM 2016</v>
      </c>
      <c r="CG13" s="20" t="str">
        <f>ZZZ__FnCalls!F84</f>
        <v>MMM 2016</v>
      </c>
      <c r="CH13" s="20" t="str">
        <f>ZZZ__FnCalls!F85</f>
        <v>MMM 2016</v>
      </c>
      <c r="CI13" s="20" t="str">
        <f>ZZZ__FnCalls!F86</f>
        <v>MMM 2016</v>
      </c>
      <c r="CJ13" s="20" t="str">
        <f>ZZZ__FnCalls!F87</f>
        <v>MMM 2016</v>
      </c>
      <c r="CK13" s="20" t="str">
        <f>ZZZ__FnCalls!F88</f>
        <v>MMM 2016</v>
      </c>
      <c r="CL13" s="20" t="str">
        <f>ZZZ__FnCalls!F89</f>
        <v>MMM 2016</v>
      </c>
      <c r="CM13" s="20" t="str">
        <f>ZZZ__FnCalls!F90</f>
        <v>MMM 2016</v>
      </c>
      <c r="CN13" s="21" t="str">
        <f>ZZZ__FnCalls!H79</f>
        <v>2016</v>
      </c>
      <c r="CO13" s="20" t="str">
        <f>ZZZ__FnCalls!F91</f>
        <v>MMM 2017</v>
      </c>
      <c r="CP13" s="20" t="str">
        <f>ZZZ__FnCalls!F92</f>
        <v>MMM 2017</v>
      </c>
      <c r="CQ13" s="20" t="str">
        <f>ZZZ__FnCalls!F93</f>
        <v>MMM 2017</v>
      </c>
      <c r="CR13" s="20" t="str">
        <f>ZZZ__FnCalls!F94</f>
        <v>MMM 2017</v>
      </c>
      <c r="CS13" s="20" t="str">
        <f>ZZZ__FnCalls!F95</f>
        <v>MMM 2017</v>
      </c>
      <c r="CT13" s="20" t="str">
        <f>ZZZ__FnCalls!F96</f>
        <v>MMM 2017</v>
      </c>
      <c r="CU13" s="20" t="str">
        <f>ZZZ__FnCalls!F97</f>
        <v>MMM 2017</v>
      </c>
      <c r="CV13" s="20" t="str">
        <f>ZZZ__FnCalls!F98</f>
        <v>MMM 2017</v>
      </c>
      <c r="CW13" s="20" t="str">
        <f>ZZZ__FnCalls!F99</f>
        <v>MMM 2017</v>
      </c>
      <c r="CX13" s="20" t="str">
        <f>ZZZ__FnCalls!F100</f>
        <v>MMM 2017</v>
      </c>
      <c r="CY13" s="20" t="str">
        <f>ZZZ__FnCalls!F101</f>
        <v>MMM 2017</v>
      </c>
      <c r="CZ13" s="20" t="str">
        <f>ZZZ__FnCalls!F102</f>
        <v>MMM 2017</v>
      </c>
      <c r="DA13" s="21" t="str">
        <f>ZZZ__FnCalls!H91</f>
        <v>2017</v>
      </c>
      <c r="DB13" s="20" t="str">
        <f>ZZZ__FnCalls!F103</f>
        <v>MMM 2018</v>
      </c>
      <c r="DC13" s="20" t="str">
        <f>ZZZ__FnCalls!F104</f>
        <v>MMM 2018</v>
      </c>
      <c r="DD13" s="20" t="str">
        <f>ZZZ__FnCalls!F105</f>
        <v>MMM 2018</v>
      </c>
      <c r="DE13" s="20" t="str">
        <f>ZZZ__FnCalls!F106</f>
        <v>MMM 2018</v>
      </c>
      <c r="DF13" s="20" t="str">
        <f>ZZZ__FnCalls!F107</f>
        <v>MMM 2018</v>
      </c>
      <c r="DG13" s="20" t="str">
        <f>ZZZ__FnCalls!F108</f>
        <v>MMM 2018</v>
      </c>
      <c r="DH13" s="20" t="str">
        <f>ZZZ__FnCalls!F109</f>
        <v>MMM 2018</v>
      </c>
      <c r="DI13" s="20" t="str">
        <f>ZZZ__FnCalls!F110</f>
        <v>MMM 2018</v>
      </c>
      <c r="DJ13" s="20" t="str">
        <f>ZZZ__FnCalls!F111</f>
        <v>MMM 2018</v>
      </c>
      <c r="DK13" s="20" t="str">
        <f>ZZZ__FnCalls!F112</f>
        <v>MMM 2018</v>
      </c>
      <c r="DL13" s="20" t="str">
        <f>ZZZ__FnCalls!F113</f>
        <v>MMM 2018</v>
      </c>
      <c r="DM13" s="20" t="str">
        <f>ZZZ__FnCalls!F114</f>
        <v>MMM 2018</v>
      </c>
      <c r="DN13" s="21" t="str">
        <f>ZZZ__FnCalls!H103</f>
        <v>2018</v>
      </c>
      <c r="DO13" s="20" t="str">
        <f>ZZZ__FnCalls!F115</f>
        <v>MMM 2019</v>
      </c>
      <c r="DP13" s="20" t="str">
        <f>ZZZ__FnCalls!F116</f>
        <v>MMM 2019</v>
      </c>
      <c r="DQ13" s="20" t="str">
        <f>ZZZ__FnCalls!F117</f>
        <v>MMM 2019</v>
      </c>
      <c r="DR13" s="20" t="str">
        <f>ZZZ__FnCalls!F118</f>
        <v>MMM 2019</v>
      </c>
      <c r="DS13" s="20" t="str">
        <f>ZZZ__FnCalls!F119</f>
        <v>MMM 2019</v>
      </c>
      <c r="DT13" s="20" t="str">
        <f>ZZZ__FnCalls!F120</f>
        <v>MMM 2019</v>
      </c>
      <c r="DU13" s="20" t="str">
        <f>ZZZ__FnCalls!F121</f>
        <v>MMM 2019</v>
      </c>
      <c r="DV13" s="20" t="str">
        <f>ZZZ__FnCalls!F122</f>
        <v>MMM 2019</v>
      </c>
      <c r="DW13" s="20" t="str">
        <f>ZZZ__FnCalls!F123</f>
        <v>MMM 2019</v>
      </c>
      <c r="DX13" s="20" t="str">
        <f>ZZZ__FnCalls!F124</f>
        <v>MMM 2019</v>
      </c>
      <c r="DY13" s="20" t="str">
        <f>ZZZ__FnCalls!F125</f>
        <v>MMM 2019</v>
      </c>
      <c r="DZ13" s="20" t="str">
        <f>ZZZ__FnCalls!F126</f>
        <v>MMM 2019</v>
      </c>
      <c r="EA13" s="21" t="str">
        <f>ZZZ__FnCalls!H115</f>
        <v>2019</v>
      </c>
      <c r="EB13" s="20" t="str">
        <f>ZZZ__FnCalls!F127</f>
        <v>MMM 2020</v>
      </c>
      <c r="EC13" s="20" t="str">
        <f>ZZZ__FnCalls!F128</f>
        <v>MMM 2020</v>
      </c>
      <c r="ED13" s="20" t="str">
        <f>ZZZ__FnCalls!F129</f>
        <v>MMM 2020</v>
      </c>
      <c r="EE13" s="20" t="str">
        <f>ZZZ__FnCalls!F130</f>
        <v>MMM 2020</v>
      </c>
      <c r="EF13" s="20" t="str">
        <f>ZZZ__FnCalls!F131</f>
        <v>MMM 2020</v>
      </c>
      <c r="EG13" s="20" t="str">
        <f>ZZZ__FnCalls!F132</f>
        <v>MMM 2020</v>
      </c>
      <c r="EH13" s="20" t="str">
        <f>ZZZ__FnCalls!F133</f>
        <v>MMM 2020</v>
      </c>
      <c r="EI13" s="20" t="str">
        <f>ZZZ__FnCalls!F134</f>
        <v>MMM 2020</v>
      </c>
      <c r="EJ13" s="20" t="str">
        <f>ZZZ__FnCalls!F135</f>
        <v>MMM 2020</v>
      </c>
      <c r="EK13" s="20" t="str">
        <f>ZZZ__FnCalls!F136</f>
        <v>MMM 2020</v>
      </c>
      <c r="EL13" s="20" t="str">
        <f>ZZZ__FnCalls!F137</f>
        <v>MMM 2020</v>
      </c>
      <c r="EM13" s="20" t="str">
        <f>ZZZ__FnCalls!F138</f>
        <v>MMM 2020</v>
      </c>
      <c r="EN13" s="21" t="str">
        <f>ZZZ__FnCalls!H127</f>
        <v>2020</v>
      </c>
    </row>
    <row r="14" spans="1:144" ht="12.75" customHeight="1" x14ac:dyDescent="0.2">
      <c r="A14" s="5"/>
      <c r="B14" s="50">
        <f>0+1/12</f>
        <v>8.3333333333333329E-2</v>
      </c>
      <c r="C14" s="50">
        <f t="shared" ref="C14:M14" si="0">B14+1/12</f>
        <v>0.16666666666666666</v>
      </c>
      <c r="D14" s="50">
        <f t="shared" si="0"/>
        <v>0.25</v>
      </c>
      <c r="E14" s="50">
        <f t="shared" si="0"/>
        <v>0.33333333333333331</v>
      </c>
      <c r="F14" s="50">
        <f t="shared" si="0"/>
        <v>0.41666666666666663</v>
      </c>
      <c r="G14" s="50">
        <f t="shared" si="0"/>
        <v>0.49999999999999994</v>
      </c>
      <c r="H14" s="50">
        <f t="shared" si="0"/>
        <v>0.58333333333333326</v>
      </c>
      <c r="I14" s="50">
        <f t="shared" si="0"/>
        <v>0.66666666666666663</v>
      </c>
      <c r="J14" s="50">
        <f t="shared" si="0"/>
        <v>0.75</v>
      </c>
      <c r="K14" s="50">
        <f t="shared" si="0"/>
        <v>0.83333333333333337</v>
      </c>
      <c r="L14" s="50">
        <f t="shared" si="0"/>
        <v>0.91666666666666674</v>
      </c>
      <c r="M14" s="50">
        <f t="shared" si="0"/>
        <v>1</v>
      </c>
      <c r="N14" s="51">
        <f>M14</f>
        <v>1</v>
      </c>
      <c r="O14" s="50">
        <f>M14+1/12</f>
        <v>1.0833333333333333</v>
      </c>
      <c r="P14" s="50">
        <f t="shared" ref="P14:Z14" si="1">O14+1/12</f>
        <v>1.1666666666666665</v>
      </c>
      <c r="Q14" s="50">
        <f t="shared" si="1"/>
        <v>1.2499999999999998</v>
      </c>
      <c r="R14" s="50">
        <f t="shared" si="1"/>
        <v>1.333333333333333</v>
      </c>
      <c r="S14" s="50">
        <f t="shared" si="1"/>
        <v>1.4166666666666663</v>
      </c>
      <c r="T14" s="50">
        <f t="shared" si="1"/>
        <v>1.4999999999999996</v>
      </c>
      <c r="U14" s="50">
        <f t="shared" si="1"/>
        <v>1.5833333333333328</v>
      </c>
      <c r="V14" s="50">
        <f t="shared" si="1"/>
        <v>1.6666666666666661</v>
      </c>
      <c r="W14" s="50">
        <f t="shared" si="1"/>
        <v>1.7499999999999993</v>
      </c>
      <c r="X14" s="50">
        <f t="shared" si="1"/>
        <v>1.8333333333333326</v>
      </c>
      <c r="Y14" s="50">
        <f t="shared" si="1"/>
        <v>1.9166666666666659</v>
      </c>
      <c r="Z14" s="50">
        <f t="shared" si="1"/>
        <v>1.9999999999999991</v>
      </c>
      <c r="AA14" s="51">
        <f>Z14</f>
        <v>1.9999999999999991</v>
      </c>
      <c r="AB14" s="50">
        <f>Z14+1/12</f>
        <v>2.0833333333333326</v>
      </c>
      <c r="AC14" s="50">
        <f t="shared" ref="AC14:AM14" si="2">AB14+1/12</f>
        <v>2.1666666666666661</v>
      </c>
      <c r="AD14" s="50">
        <f t="shared" si="2"/>
        <v>2.2499999999999996</v>
      </c>
      <c r="AE14" s="50">
        <f t="shared" si="2"/>
        <v>2.333333333333333</v>
      </c>
      <c r="AF14" s="50">
        <f t="shared" si="2"/>
        <v>2.4166666666666665</v>
      </c>
      <c r="AG14" s="50">
        <f t="shared" si="2"/>
        <v>2.5</v>
      </c>
      <c r="AH14" s="50">
        <f t="shared" si="2"/>
        <v>2.5833333333333335</v>
      </c>
      <c r="AI14" s="50">
        <f t="shared" si="2"/>
        <v>2.666666666666667</v>
      </c>
      <c r="AJ14" s="50">
        <f t="shared" si="2"/>
        <v>2.7500000000000004</v>
      </c>
      <c r="AK14" s="50">
        <f t="shared" si="2"/>
        <v>2.8333333333333339</v>
      </c>
      <c r="AL14" s="50">
        <f t="shared" si="2"/>
        <v>2.9166666666666674</v>
      </c>
      <c r="AM14" s="50">
        <f t="shared" si="2"/>
        <v>3.0000000000000009</v>
      </c>
      <c r="AN14" s="51">
        <f>AM14</f>
        <v>3.0000000000000009</v>
      </c>
      <c r="AO14" s="50">
        <f>AM14+1/12</f>
        <v>3.0833333333333344</v>
      </c>
      <c r="AP14" s="50">
        <f t="shared" ref="AP14:AZ14" si="3">AO14+1/12</f>
        <v>3.1666666666666679</v>
      </c>
      <c r="AQ14" s="50">
        <f t="shared" si="3"/>
        <v>3.2500000000000013</v>
      </c>
      <c r="AR14" s="50">
        <f t="shared" si="3"/>
        <v>3.3333333333333348</v>
      </c>
      <c r="AS14" s="50">
        <f t="shared" si="3"/>
        <v>3.4166666666666683</v>
      </c>
      <c r="AT14" s="50">
        <f t="shared" si="3"/>
        <v>3.5000000000000018</v>
      </c>
      <c r="AU14" s="50">
        <f t="shared" si="3"/>
        <v>3.5833333333333353</v>
      </c>
      <c r="AV14" s="50">
        <f t="shared" si="3"/>
        <v>3.6666666666666687</v>
      </c>
      <c r="AW14" s="50">
        <f t="shared" si="3"/>
        <v>3.7500000000000022</v>
      </c>
      <c r="AX14" s="50">
        <f t="shared" si="3"/>
        <v>3.8333333333333357</v>
      </c>
      <c r="AY14" s="50">
        <f t="shared" si="3"/>
        <v>3.9166666666666692</v>
      </c>
      <c r="AZ14" s="50">
        <f t="shared" si="3"/>
        <v>4.0000000000000027</v>
      </c>
      <c r="BA14" s="51">
        <f>AZ14</f>
        <v>4.0000000000000027</v>
      </c>
      <c r="BB14" s="50">
        <f>AZ14+1/12</f>
        <v>4.0833333333333357</v>
      </c>
      <c r="BC14" s="50">
        <f t="shared" ref="BC14:BM14" si="4">BB14+1/12</f>
        <v>4.1666666666666687</v>
      </c>
      <c r="BD14" s="50">
        <f t="shared" si="4"/>
        <v>4.2500000000000018</v>
      </c>
      <c r="BE14" s="50">
        <f t="shared" si="4"/>
        <v>4.3333333333333348</v>
      </c>
      <c r="BF14" s="50">
        <f t="shared" si="4"/>
        <v>4.4166666666666679</v>
      </c>
      <c r="BG14" s="50">
        <f t="shared" si="4"/>
        <v>4.5000000000000009</v>
      </c>
      <c r="BH14" s="50">
        <f t="shared" si="4"/>
        <v>4.5833333333333339</v>
      </c>
      <c r="BI14" s="50">
        <f t="shared" si="4"/>
        <v>4.666666666666667</v>
      </c>
      <c r="BJ14" s="50">
        <f t="shared" si="4"/>
        <v>4.75</v>
      </c>
      <c r="BK14" s="50">
        <f t="shared" si="4"/>
        <v>4.833333333333333</v>
      </c>
      <c r="BL14" s="50">
        <f t="shared" si="4"/>
        <v>4.9166666666666661</v>
      </c>
      <c r="BM14" s="50">
        <f t="shared" si="4"/>
        <v>4.9999999999999991</v>
      </c>
      <c r="BN14" s="51">
        <f>BM14</f>
        <v>4.9999999999999991</v>
      </c>
      <c r="BO14" s="50">
        <f>BM14+1/12</f>
        <v>5.0833333333333321</v>
      </c>
      <c r="BP14" s="50">
        <f t="shared" ref="BP14:BZ14" si="5">BO14+1/12</f>
        <v>5.1666666666666652</v>
      </c>
      <c r="BQ14" s="50">
        <f t="shared" si="5"/>
        <v>5.2499999999999982</v>
      </c>
      <c r="BR14" s="50">
        <f t="shared" si="5"/>
        <v>5.3333333333333313</v>
      </c>
      <c r="BS14" s="50">
        <f t="shared" si="5"/>
        <v>5.4166666666666643</v>
      </c>
      <c r="BT14" s="50">
        <f t="shared" si="5"/>
        <v>5.4999999999999973</v>
      </c>
      <c r="BU14" s="50">
        <f t="shared" si="5"/>
        <v>5.5833333333333304</v>
      </c>
      <c r="BV14" s="50">
        <f t="shared" si="5"/>
        <v>5.6666666666666634</v>
      </c>
      <c r="BW14" s="50">
        <f t="shared" si="5"/>
        <v>5.7499999999999964</v>
      </c>
      <c r="BX14" s="50">
        <f t="shared" si="5"/>
        <v>5.8333333333333295</v>
      </c>
      <c r="BY14" s="50">
        <f t="shared" si="5"/>
        <v>5.9166666666666625</v>
      </c>
      <c r="BZ14" s="50">
        <f t="shared" si="5"/>
        <v>5.9999999999999956</v>
      </c>
      <c r="CA14" s="51">
        <f>BZ14</f>
        <v>5.9999999999999956</v>
      </c>
      <c r="CB14" s="50">
        <f>BZ14+1/12</f>
        <v>6.0833333333333286</v>
      </c>
      <c r="CC14" s="50">
        <f t="shared" ref="CC14:CM14" si="6">CB14+1/12</f>
        <v>6.1666666666666616</v>
      </c>
      <c r="CD14" s="50">
        <f t="shared" si="6"/>
        <v>6.2499999999999947</v>
      </c>
      <c r="CE14" s="50">
        <f t="shared" si="6"/>
        <v>6.3333333333333277</v>
      </c>
      <c r="CF14" s="50">
        <f t="shared" si="6"/>
        <v>6.4166666666666607</v>
      </c>
      <c r="CG14" s="50">
        <f t="shared" si="6"/>
        <v>6.4999999999999938</v>
      </c>
      <c r="CH14" s="50">
        <f t="shared" si="6"/>
        <v>6.5833333333333268</v>
      </c>
      <c r="CI14" s="50">
        <f t="shared" si="6"/>
        <v>6.6666666666666599</v>
      </c>
      <c r="CJ14" s="50">
        <f t="shared" si="6"/>
        <v>6.7499999999999929</v>
      </c>
      <c r="CK14" s="50">
        <f t="shared" si="6"/>
        <v>6.8333333333333259</v>
      </c>
      <c r="CL14" s="50">
        <f t="shared" si="6"/>
        <v>6.916666666666659</v>
      </c>
      <c r="CM14" s="50">
        <f t="shared" si="6"/>
        <v>6.999999999999992</v>
      </c>
      <c r="CN14" s="51">
        <f>CM14</f>
        <v>6.999999999999992</v>
      </c>
      <c r="CO14" s="50">
        <f>CM14+1/12</f>
        <v>7.083333333333325</v>
      </c>
      <c r="CP14" s="50">
        <f t="shared" ref="CP14:CZ14" si="7">CO14+1/12</f>
        <v>7.1666666666666581</v>
      </c>
      <c r="CQ14" s="50">
        <f t="shared" si="7"/>
        <v>7.2499999999999911</v>
      </c>
      <c r="CR14" s="50">
        <f t="shared" si="7"/>
        <v>7.3333333333333242</v>
      </c>
      <c r="CS14" s="50">
        <f t="shared" si="7"/>
        <v>7.4166666666666572</v>
      </c>
      <c r="CT14" s="50">
        <f t="shared" si="7"/>
        <v>7.4999999999999902</v>
      </c>
      <c r="CU14" s="50">
        <f t="shared" si="7"/>
        <v>7.5833333333333233</v>
      </c>
      <c r="CV14" s="50">
        <f t="shared" si="7"/>
        <v>7.6666666666666563</v>
      </c>
      <c r="CW14" s="50">
        <f t="shared" si="7"/>
        <v>7.7499999999999893</v>
      </c>
      <c r="CX14" s="50">
        <f t="shared" si="7"/>
        <v>7.8333333333333224</v>
      </c>
      <c r="CY14" s="50">
        <f t="shared" si="7"/>
        <v>7.9166666666666554</v>
      </c>
      <c r="CZ14" s="50">
        <f t="shared" si="7"/>
        <v>7.9999999999999885</v>
      </c>
      <c r="DA14" s="51">
        <f>CZ14</f>
        <v>7.9999999999999885</v>
      </c>
      <c r="DB14" s="50">
        <f>CZ14+1/12</f>
        <v>8.0833333333333215</v>
      </c>
      <c r="DC14" s="50">
        <f t="shared" ref="DC14:DM14" si="8">DB14+1/12</f>
        <v>8.1666666666666554</v>
      </c>
      <c r="DD14" s="50">
        <f t="shared" si="8"/>
        <v>8.2499999999999893</v>
      </c>
      <c r="DE14" s="50">
        <f t="shared" si="8"/>
        <v>8.3333333333333233</v>
      </c>
      <c r="DF14" s="50">
        <f t="shared" si="8"/>
        <v>8.4166666666666572</v>
      </c>
      <c r="DG14" s="50">
        <f t="shared" si="8"/>
        <v>8.4999999999999911</v>
      </c>
      <c r="DH14" s="50">
        <f t="shared" si="8"/>
        <v>8.583333333333325</v>
      </c>
      <c r="DI14" s="50">
        <f t="shared" si="8"/>
        <v>8.666666666666659</v>
      </c>
      <c r="DJ14" s="50">
        <f t="shared" si="8"/>
        <v>8.7499999999999929</v>
      </c>
      <c r="DK14" s="50">
        <f t="shared" si="8"/>
        <v>8.8333333333333268</v>
      </c>
      <c r="DL14" s="50">
        <f t="shared" si="8"/>
        <v>8.9166666666666607</v>
      </c>
      <c r="DM14" s="50">
        <f t="shared" si="8"/>
        <v>8.9999999999999947</v>
      </c>
      <c r="DN14" s="51">
        <f>DM14</f>
        <v>8.9999999999999947</v>
      </c>
      <c r="DO14" s="50">
        <f>DM14+1/12</f>
        <v>9.0833333333333286</v>
      </c>
      <c r="DP14" s="50">
        <f t="shared" ref="DP14:DZ14" si="9">DO14+1/12</f>
        <v>9.1666666666666625</v>
      </c>
      <c r="DQ14" s="50">
        <f t="shared" si="9"/>
        <v>9.2499999999999964</v>
      </c>
      <c r="DR14" s="50">
        <f t="shared" si="9"/>
        <v>9.3333333333333304</v>
      </c>
      <c r="DS14" s="50">
        <f t="shared" si="9"/>
        <v>9.4166666666666643</v>
      </c>
      <c r="DT14" s="50">
        <f t="shared" si="9"/>
        <v>9.4999999999999982</v>
      </c>
      <c r="DU14" s="50">
        <f t="shared" si="9"/>
        <v>9.5833333333333321</v>
      </c>
      <c r="DV14" s="50">
        <f t="shared" si="9"/>
        <v>9.6666666666666661</v>
      </c>
      <c r="DW14" s="50">
        <f t="shared" si="9"/>
        <v>9.75</v>
      </c>
      <c r="DX14" s="50">
        <f t="shared" si="9"/>
        <v>9.8333333333333339</v>
      </c>
      <c r="DY14" s="50">
        <f t="shared" si="9"/>
        <v>9.9166666666666679</v>
      </c>
      <c r="DZ14" s="50">
        <f t="shared" si="9"/>
        <v>10.000000000000002</v>
      </c>
      <c r="EA14" s="51">
        <f>DZ14</f>
        <v>10.000000000000002</v>
      </c>
      <c r="EB14" s="50">
        <f>DZ14+1/12</f>
        <v>10.083333333333336</v>
      </c>
      <c r="EC14" s="50">
        <f t="shared" ref="EC14:EM14" si="10">EB14+1/12</f>
        <v>10.16666666666667</v>
      </c>
      <c r="ED14" s="50">
        <f t="shared" si="10"/>
        <v>10.250000000000004</v>
      </c>
      <c r="EE14" s="50">
        <f t="shared" si="10"/>
        <v>10.333333333333337</v>
      </c>
      <c r="EF14" s="50">
        <f t="shared" si="10"/>
        <v>10.416666666666671</v>
      </c>
      <c r="EG14" s="50">
        <f t="shared" si="10"/>
        <v>10.500000000000005</v>
      </c>
      <c r="EH14" s="50">
        <f t="shared" si="10"/>
        <v>10.583333333333339</v>
      </c>
      <c r="EI14" s="50">
        <f t="shared" si="10"/>
        <v>10.666666666666673</v>
      </c>
      <c r="EJ14" s="50">
        <f t="shared" si="10"/>
        <v>10.750000000000007</v>
      </c>
      <c r="EK14" s="50">
        <f t="shared" si="10"/>
        <v>10.833333333333341</v>
      </c>
      <c r="EL14" s="50">
        <f t="shared" si="10"/>
        <v>10.916666666666675</v>
      </c>
      <c r="EM14" s="50">
        <f t="shared" si="10"/>
        <v>11.000000000000009</v>
      </c>
      <c r="EN14" s="51">
        <f>EM14</f>
        <v>11.000000000000009</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6"/>
  <sheetViews>
    <sheetView workbookViewId="0"/>
  </sheetViews>
  <sheetFormatPr defaultRowHeight="12.75" customHeight="1" x14ac:dyDescent="0.2"/>
  <cols>
    <col min="1" max="1" width="25.42578125" customWidth="1"/>
    <col min="2" max="2" width="22.7109375" customWidth="1"/>
    <col min="5" max="5" width="60.7109375" style="61" customWidth="1"/>
  </cols>
  <sheetData>
    <row r="1" spans="1:5" ht="12.75" customHeight="1" x14ac:dyDescent="0.2">
      <c r="A1" s="112" t="str">
        <f>"Equilibrium Economy with Shocks"</f>
        <v>Equilibrium Economy with Shocks</v>
      </c>
      <c r="B1" s="112"/>
      <c r="C1" s="112"/>
    </row>
    <row r="2" spans="1:5" ht="12.75" customHeight="1" x14ac:dyDescent="0.2">
      <c r="A2" s="112" t="str">
        <f>"Model: "&amp;Inputs!B8</f>
        <v>Model: Test Model</v>
      </c>
      <c r="B2" s="112"/>
      <c r="C2" s="112"/>
    </row>
    <row r="3" spans="1:5" ht="12.75" customHeight="1" x14ac:dyDescent="0.2">
      <c r="A3" s="112" t="str">
        <f>"$ millions"</f>
        <v>$ millions</v>
      </c>
      <c r="B3" s="112"/>
      <c r="C3" s="112"/>
    </row>
    <row r="4" spans="1:5" ht="12.75" customHeight="1" x14ac:dyDescent="0.2">
      <c r="A4" s="112" t="str">
        <f>"Labels"</f>
        <v>Labels</v>
      </c>
      <c r="B4" s="112"/>
      <c r="C4" s="112"/>
    </row>
    <row r="5" spans="1:5" ht="12.75" customHeight="1" x14ac:dyDescent="0.2">
      <c r="A5" s="112" t="str">
        <f>""</f>
        <v/>
      </c>
      <c r="B5" s="112"/>
      <c r="C5" s="112"/>
    </row>
    <row r="6" spans="1:5" ht="12.75" customHeight="1" x14ac:dyDescent="0.2">
      <c r="A6" s="52" t="s">
        <v>54</v>
      </c>
      <c r="B6" s="53">
        <v>40179</v>
      </c>
    </row>
    <row r="8" spans="1:5" ht="12.75" customHeight="1" x14ac:dyDescent="0.2">
      <c r="A8" s="54" t="s">
        <v>314</v>
      </c>
      <c r="B8" s="54" t="s">
        <v>311</v>
      </c>
      <c r="C8" s="54"/>
      <c r="D8" s="54"/>
      <c r="E8" s="59" t="s">
        <v>20</v>
      </c>
    </row>
    <row r="9" spans="1:5" ht="33.75" customHeight="1" x14ac:dyDescent="0.2">
      <c r="A9" s="52" t="s">
        <v>183</v>
      </c>
      <c r="B9" s="55" t="s">
        <v>183</v>
      </c>
      <c r="C9" s="56"/>
      <c r="D9" s="56"/>
      <c r="E9" s="60" t="s">
        <v>197</v>
      </c>
    </row>
    <row r="10" spans="1:5" ht="12.75" customHeight="1" x14ac:dyDescent="0.2">
      <c r="A10" s="52" t="s">
        <v>21</v>
      </c>
      <c r="B10" s="55" t="s">
        <v>318</v>
      </c>
      <c r="C10" s="56"/>
      <c r="D10" s="56"/>
      <c r="E10" s="60" t="s">
        <v>7</v>
      </c>
    </row>
    <row r="11" spans="1:5" ht="12.75" customHeight="1" x14ac:dyDescent="0.2">
      <c r="A11" s="52" t="s">
        <v>260</v>
      </c>
      <c r="B11" s="55" t="s">
        <v>38</v>
      </c>
      <c r="C11" s="56"/>
      <c r="D11" s="56"/>
      <c r="E11" s="60" t="s">
        <v>40</v>
      </c>
    </row>
    <row r="12" spans="1:5" ht="12.75" customHeight="1" x14ac:dyDescent="0.2">
      <c r="A12" s="52" t="s">
        <v>85</v>
      </c>
      <c r="B12" s="55" t="s">
        <v>218</v>
      </c>
      <c r="C12" s="56"/>
      <c r="D12" s="56"/>
      <c r="E12" s="60" t="s">
        <v>22</v>
      </c>
    </row>
    <row r="13" spans="1:5" ht="12.75" customHeight="1" x14ac:dyDescent="0.2">
      <c r="A13" s="52" t="s">
        <v>316</v>
      </c>
      <c r="B13" s="55" t="s">
        <v>124</v>
      </c>
      <c r="C13" s="56"/>
      <c r="D13" s="56"/>
      <c r="E13" s="60" t="s">
        <v>324</v>
      </c>
    </row>
    <row r="14" spans="1:5" ht="12.75" customHeight="1" x14ac:dyDescent="0.2">
      <c r="A14" s="52" t="s">
        <v>163</v>
      </c>
      <c r="B14" s="55" t="s">
        <v>89</v>
      </c>
      <c r="C14" s="56"/>
      <c r="D14" s="56"/>
      <c r="E14" s="60" t="s">
        <v>73</v>
      </c>
    </row>
    <row r="15" spans="1:5" ht="12.75" customHeight="1" x14ac:dyDescent="0.2">
      <c r="A15" s="52" t="s">
        <v>19</v>
      </c>
      <c r="B15" s="55" t="s">
        <v>246</v>
      </c>
      <c r="C15" s="56"/>
      <c r="D15" s="56"/>
      <c r="E15" s="60" t="s">
        <v>133</v>
      </c>
    </row>
    <row r="16" spans="1:5" ht="12.75" customHeight="1" x14ac:dyDescent="0.2">
      <c r="A16" s="52" t="s">
        <v>233</v>
      </c>
      <c r="B16" s="55" t="s">
        <v>233</v>
      </c>
      <c r="C16" s="56"/>
      <c r="D16" s="56"/>
      <c r="E16" s="60" t="s">
        <v>109</v>
      </c>
    </row>
    <row r="17" spans="1:5" ht="12.75" customHeight="1" x14ac:dyDescent="0.2">
      <c r="A17" s="52" t="s">
        <v>98</v>
      </c>
      <c r="B17" s="55" t="s">
        <v>142</v>
      </c>
      <c r="C17" s="56"/>
      <c r="D17" s="56"/>
      <c r="E17" s="60" t="s">
        <v>325</v>
      </c>
    </row>
    <row r="18" spans="1:5" ht="12.75" customHeight="1" x14ac:dyDescent="0.2">
      <c r="A18" s="52" t="s">
        <v>204</v>
      </c>
      <c r="B18" s="55" t="s">
        <v>283</v>
      </c>
      <c r="C18" s="56"/>
      <c r="D18" s="56"/>
      <c r="E18" s="60" t="s">
        <v>146</v>
      </c>
    </row>
    <row r="19" spans="1:5" ht="22.5" customHeight="1" x14ac:dyDescent="0.2">
      <c r="A19" s="52" t="s">
        <v>170</v>
      </c>
      <c r="B19" s="55" t="s">
        <v>25</v>
      </c>
      <c r="C19" s="56"/>
      <c r="D19" s="56"/>
      <c r="E19" s="60" t="s">
        <v>269</v>
      </c>
    </row>
    <row r="20" spans="1:5" ht="22.5" customHeight="1" x14ac:dyDescent="0.2">
      <c r="A20" s="52" t="s">
        <v>86</v>
      </c>
      <c r="B20" s="55" t="s">
        <v>174</v>
      </c>
      <c r="C20" s="56"/>
      <c r="D20" s="56"/>
      <c r="E20" s="60" t="s">
        <v>245</v>
      </c>
    </row>
    <row r="21" spans="1:5" ht="12.75" customHeight="1" x14ac:dyDescent="0.2">
      <c r="A21" s="52" t="s">
        <v>156</v>
      </c>
      <c r="B21" s="55" t="s">
        <v>156</v>
      </c>
      <c r="C21" s="56"/>
      <c r="D21" s="56"/>
      <c r="E21" s="60" t="s">
        <v>23</v>
      </c>
    </row>
    <row r="22" spans="1:5" ht="22.5" customHeight="1" x14ac:dyDescent="0.2">
      <c r="A22" s="52" t="s">
        <v>50</v>
      </c>
      <c r="B22" s="55" t="s">
        <v>50</v>
      </c>
      <c r="C22" s="56"/>
      <c r="D22" s="56"/>
      <c r="E22" s="60" t="s">
        <v>96</v>
      </c>
    </row>
    <row r="23" spans="1:5" ht="22.5" customHeight="1" x14ac:dyDescent="0.2">
      <c r="A23" s="52" t="s">
        <v>5</v>
      </c>
      <c r="B23" s="55" t="s">
        <v>172</v>
      </c>
      <c r="C23" s="56"/>
      <c r="D23" s="56"/>
      <c r="E23" s="60" t="s">
        <v>12</v>
      </c>
    </row>
    <row r="24" spans="1:5" ht="12.75" customHeight="1" x14ac:dyDescent="0.2">
      <c r="A24" s="52" t="s">
        <v>81</v>
      </c>
      <c r="B24" s="55" t="s">
        <v>134</v>
      </c>
      <c r="C24" s="56"/>
      <c r="D24" s="56"/>
      <c r="E24" s="60" t="s">
        <v>80</v>
      </c>
    </row>
    <row r="25" spans="1:5" ht="22.5" customHeight="1" x14ac:dyDescent="0.2">
      <c r="A25" s="52" t="s">
        <v>243</v>
      </c>
      <c r="B25" s="55" t="s">
        <v>189</v>
      </c>
      <c r="C25" s="56"/>
      <c r="D25" s="56"/>
      <c r="E25" s="60" t="s">
        <v>139</v>
      </c>
    </row>
    <row r="26" spans="1:5" ht="22.5" customHeight="1" x14ac:dyDescent="0.2">
      <c r="A26" s="52" t="s">
        <v>68</v>
      </c>
      <c r="B26" s="55" t="s">
        <v>39</v>
      </c>
      <c r="C26" s="56"/>
      <c r="D26" s="56"/>
      <c r="E26" s="60" t="s">
        <v>209</v>
      </c>
    </row>
    <row r="27" spans="1:5" ht="12.75" customHeight="1" x14ac:dyDescent="0.2">
      <c r="A27" s="52" t="s">
        <v>79</v>
      </c>
      <c r="B27" s="55" t="s">
        <v>236</v>
      </c>
      <c r="C27" s="56"/>
      <c r="D27" s="56"/>
      <c r="E27" s="60" t="s">
        <v>179</v>
      </c>
    </row>
    <row r="28" spans="1:5" ht="22.5" customHeight="1" x14ac:dyDescent="0.2">
      <c r="A28" s="52" t="s">
        <v>207</v>
      </c>
      <c r="B28" s="55" t="s">
        <v>211</v>
      </c>
      <c r="C28" s="56"/>
      <c r="D28" s="56"/>
      <c r="E28" s="60" t="s">
        <v>275</v>
      </c>
    </row>
    <row r="29" spans="1:5" ht="12.75" customHeight="1" x14ac:dyDescent="0.2">
      <c r="A29" s="52" t="s">
        <v>65</v>
      </c>
      <c r="B29" s="55" t="s">
        <v>52</v>
      </c>
      <c r="C29" s="56"/>
      <c r="D29" s="56"/>
      <c r="E29" s="60" t="s">
        <v>58</v>
      </c>
    </row>
    <row r="30" spans="1:5" ht="12.75" customHeight="1" x14ac:dyDescent="0.2">
      <c r="A30" s="52" t="s">
        <v>232</v>
      </c>
      <c r="B30" s="55" t="s">
        <v>46</v>
      </c>
      <c r="C30" s="56"/>
      <c r="D30" s="56"/>
      <c r="E30" s="60" t="s">
        <v>66</v>
      </c>
    </row>
    <row r="31" spans="1:5" ht="22.5" customHeight="1" x14ac:dyDescent="0.2">
      <c r="A31" s="52" t="s">
        <v>104</v>
      </c>
      <c r="B31" s="55" t="s">
        <v>2</v>
      </c>
      <c r="C31" s="56"/>
      <c r="D31" s="56"/>
      <c r="E31" s="60" t="s">
        <v>141</v>
      </c>
    </row>
    <row r="32" spans="1:5" ht="22.5" customHeight="1" x14ac:dyDescent="0.2">
      <c r="A32" s="52" t="s">
        <v>221</v>
      </c>
      <c r="B32" s="55" t="s">
        <v>251</v>
      </c>
      <c r="C32" s="56"/>
      <c r="D32" s="56"/>
      <c r="E32" s="60" t="s">
        <v>154</v>
      </c>
    </row>
    <row r="33" spans="1:5" ht="12.75" customHeight="1" x14ac:dyDescent="0.2">
      <c r="A33" s="52" t="s">
        <v>106</v>
      </c>
      <c r="B33" s="55" t="s">
        <v>95</v>
      </c>
      <c r="C33" s="56"/>
      <c r="D33" s="56"/>
      <c r="E33" s="60" t="s">
        <v>16</v>
      </c>
    </row>
    <row r="34" spans="1:5" ht="33.75" customHeight="1" x14ac:dyDescent="0.2">
      <c r="A34" s="52" t="s">
        <v>140</v>
      </c>
      <c r="B34" s="55" t="s">
        <v>301</v>
      </c>
      <c r="C34" s="56"/>
      <c r="D34" s="56"/>
      <c r="E34" s="60" t="s">
        <v>264</v>
      </c>
    </row>
    <row r="35" spans="1:5" ht="12.75" customHeight="1" x14ac:dyDescent="0.2">
      <c r="A35" s="52" t="s">
        <v>97</v>
      </c>
      <c r="B35" s="55" t="s">
        <v>102</v>
      </c>
      <c r="C35" s="56"/>
      <c r="D35" s="56"/>
      <c r="E35" s="60" t="s">
        <v>28</v>
      </c>
    </row>
    <row r="36" spans="1:5" ht="22.5" customHeight="1" x14ac:dyDescent="0.2">
      <c r="A36" s="52" t="s">
        <v>144</v>
      </c>
      <c r="B36" s="55" t="s">
        <v>35</v>
      </c>
      <c r="C36" s="56"/>
      <c r="D36" s="56"/>
      <c r="E36" s="60" t="s">
        <v>239</v>
      </c>
    </row>
    <row r="37" spans="1:5" ht="12.75" customHeight="1" x14ac:dyDescent="0.2">
      <c r="A37" s="52" t="s">
        <v>47</v>
      </c>
      <c r="B37" s="55" t="s">
        <v>14</v>
      </c>
      <c r="C37" s="56"/>
      <c r="D37" s="56"/>
      <c r="E37" s="60" t="s">
        <v>132</v>
      </c>
    </row>
    <row r="38" spans="1:5" ht="12.75" customHeight="1" x14ac:dyDescent="0.2">
      <c r="A38" s="52" t="s">
        <v>196</v>
      </c>
      <c r="B38" s="55" t="s">
        <v>196</v>
      </c>
      <c r="C38" s="56"/>
      <c r="D38" s="56"/>
      <c r="E38" s="60" t="s">
        <v>255</v>
      </c>
    </row>
    <row r="39" spans="1:5" ht="12.75" customHeight="1" x14ac:dyDescent="0.2">
      <c r="A39" s="52" t="s">
        <v>6</v>
      </c>
      <c r="B39" s="55" t="s">
        <v>304</v>
      </c>
      <c r="C39" s="56"/>
      <c r="D39" s="56"/>
      <c r="E39" s="60" t="s">
        <v>27</v>
      </c>
    </row>
    <row r="40" spans="1:5" ht="12.75" customHeight="1" x14ac:dyDescent="0.2">
      <c r="A40" s="52" t="s">
        <v>317</v>
      </c>
      <c r="B40" s="55" t="s">
        <v>186</v>
      </c>
      <c r="C40" s="56"/>
      <c r="D40" s="56"/>
      <c r="E40" s="60" t="s">
        <v>289</v>
      </c>
    </row>
    <row r="41" spans="1:5" ht="68.25" customHeight="1" x14ac:dyDescent="0.2">
      <c r="A41" s="52" t="s">
        <v>206</v>
      </c>
      <c r="B41" s="55" t="s">
        <v>17</v>
      </c>
      <c r="C41" s="56"/>
      <c r="D41" s="56"/>
      <c r="E41" s="60" t="s">
        <v>121</v>
      </c>
    </row>
    <row r="42" spans="1:5" ht="22.5" customHeight="1" x14ac:dyDescent="0.2">
      <c r="A42" s="52" t="s">
        <v>9</v>
      </c>
      <c r="B42" s="55" t="s">
        <v>69</v>
      </c>
      <c r="C42" s="56"/>
      <c r="D42" s="56"/>
      <c r="E42" s="60" t="s">
        <v>61</v>
      </c>
    </row>
    <row r="43" spans="1:5" ht="22.5" customHeight="1" x14ac:dyDescent="0.2">
      <c r="A43" s="52" t="s">
        <v>157</v>
      </c>
      <c r="B43" s="55" t="s">
        <v>253</v>
      </c>
      <c r="C43" s="56"/>
      <c r="D43" s="56"/>
      <c r="E43" s="60" t="s">
        <v>315</v>
      </c>
    </row>
    <row r="44" spans="1:5" ht="12.75" customHeight="1" x14ac:dyDescent="0.2">
      <c r="A44" s="52" t="s">
        <v>242</v>
      </c>
      <c r="B44" s="55" t="s">
        <v>93</v>
      </c>
      <c r="C44" s="56"/>
      <c r="D44" s="56"/>
      <c r="E44" s="60" t="s">
        <v>55</v>
      </c>
    </row>
    <row r="45" spans="1:5" ht="22.5" customHeight="1" x14ac:dyDescent="0.2">
      <c r="A45" s="52" t="s">
        <v>92</v>
      </c>
      <c r="B45" s="55" t="s">
        <v>92</v>
      </c>
      <c r="C45" s="56"/>
      <c r="D45" s="56"/>
      <c r="E45" s="60" t="s">
        <v>180</v>
      </c>
    </row>
    <row r="46" spans="1:5" ht="12.75" customHeight="1" x14ac:dyDescent="0.2">
      <c r="A46" s="52" t="s">
        <v>114</v>
      </c>
      <c r="B46" s="55" t="s">
        <v>329</v>
      </c>
      <c r="C46" s="56"/>
      <c r="D46" s="56"/>
      <c r="E46" s="60" t="s">
        <v>308</v>
      </c>
    </row>
    <row r="47" spans="1:5" ht="33.75" customHeight="1" x14ac:dyDescent="0.2">
      <c r="A47" s="52" t="s">
        <v>113</v>
      </c>
      <c r="B47" s="55" t="s">
        <v>113</v>
      </c>
      <c r="C47" s="56"/>
      <c r="D47" s="56"/>
      <c r="E47" s="60" t="s">
        <v>171</v>
      </c>
    </row>
    <row r="48" spans="1:5" ht="33.75" customHeight="1" x14ac:dyDescent="0.2">
      <c r="A48" s="52" t="s">
        <v>128</v>
      </c>
      <c r="B48" s="55" t="s">
        <v>268</v>
      </c>
      <c r="C48" s="56"/>
      <c r="D48" s="56"/>
      <c r="E48" s="60" t="s">
        <v>169</v>
      </c>
    </row>
    <row r="49" spans="1:5" ht="12.75" customHeight="1" x14ac:dyDescent="0.2">
      <c r="A49" s="52" t="s">
        <v>8</v>
      </c>
      <c r="B49" s="55" t="s">
        <v>8</v>
      </c>
      <c r="C49" s="56"/>
      <c r="D49" s="56"/>
      <c r="E49" s="60" t="s">
        <v>276</v>
      </c>
    </row>
    <row r="50" spans="1:5" ht="22.5" customHeight="1" x14ac:dyDescent="0.2">
      <c r="A50" s="52" t="s">
        <v>119</v>
      </c>
      <c r="B50" s="55" t="s">
        <v>72</v>
      </c>
      <c r="C50" s="56"/>
      <c r="D50" s="56"/>
      <c r="E50" s="60" t="s">
        <v>149</v>
      </c>
    </row>
    <row r="51" spans="1:5" ht="12.75" customHeight="1" x14ac:dyDescent="0.2">
      <c r="A51" s="52" t="s">
        <v>217</v>
      </c>
      <c r="B51" s="55" t="s">
        <v>217</v>
      </c>
      <c r="C51" s="56"/>
      <c r="D51" s="56"/>
      <c r="E51" s="60" t="s">
        <v>273</v>
      </c>
    </row>
    <row r="52" spans="1:5" ht="22.5" customHeight="1" x14ac:dyDescent="0.2">
      <c r="A52" s="52" t="s">
        <v>129</v>
      </c>
      <c r="B52" s="55" t="s">
        <v>234</v>
      </c>
      <c r="C52" s="56"/>
      <c r="D52" s="56"/>
      <c r="E52" s="60" t="s">
        <v>326</v>
      </c>
    </row>
    <row r="53" spans="1:5" ht="22.5" customHeight="1" x14ac:dyDescent="0.2">
      <c r="A53" s="52" t="s">
        <v>286</v>
      </c>
      <c r="B53" s="55" t="s">
        <v>287</v>
      </c>
      <c r="C53" s="56"/>
      <c r="D53" s="56"/>
      <c r="E53" s="60" t="s">
        <v>120</v>
      </c>
    </row>
    <row r="54" spans="1:5" ht="22.5" customHeight="1" x14ac:dyDescent="0.2">
      <c r="A54" s="52" t="s">
        <v>247</v>
      </c>
      <c r="B54" s="55" t="s">
        <v>135</v>
      </c>
      <c r="C54" s="56"/>
      <c r="D54" s="56"/>
      <c r="E54" s="60" t="s">
        <v>83</v>
      </c>
    </row>
    <row r="55" spans="1:5" ht="22.5" customHeight="1" x14ac:dyDescent="0.2">
      <c r="A55" s="52" t="s">
        <v>155</v>
      </c>
      <c r="B55" s="55" t="s">
        <v>131</v>
      </c>
      <c r="C55" s="56"/>
      <c r="D55" s="56"/>
      <c r="E55" s="60" t="s">
        <v>118</v>
      </c>
    </row>
    <row r="56" spans="1:5" ht="22.5" customHeight="1" x14ac:dyDescent="0.2">
      <c r="A56" s="52" t="s">
        <v>279</v>
      </c>
      <c r="B56" s="55" t="s">
        <v>160</v>
      </c>
      <c r="C56" s="56"/>
      <c r="D56" s="56"/>
      <c r="E56" s="60" t="s">
        <v>192</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38"/>
  <sheetViews>
    <sheetView workbookViewId="0"/>
  </sheetViews>
  <sheetFormatPr defaultRowHeight="12.75" customHeight="1" x14ac:dyDescent="0.2"/>
  <sheetData>
    <row r="1" spans="1:8" ht="12.75" customHeight="1" x14ac:dyDescent="0.2">
      <c r="A1" s="112" t="str">
        <f>"Equilibrium Economy with Shocks"</f>
        <v>Equilibrium Economy with Shocks</v>
      </c>
      <c r="B1" s="112"/>
      <c r="C1" s="112"/>
    </row>
    <row r="2" spans="1:8" ht="12.75" customHeight="1" x14ac:dyDescent="0.2">
      <c r="A2" s="112" t="str">
        <f>"Model: "&amp;Inputs!B8</f>
        <v>Model: Test Model</v>
      </c>
      <c r="B2" s="112"/>
      <c r="C2" s="112"/>
    </row>
    <row r="3" spans="1:8" ht="12.75" customHeight="1" x14ac:dyDescent="0.2">
      <c r="A3" s="112" t="str">
        <f>"$ millions"</f>
        <v>$ millions</v>
      </c>
      <c r="B3" s="112"/>
      <c r="C3" s="112"/>
    </row>
    <row r="4" spans="1:8" ht="12.75" customHeight="1" x14ac:dyDescent="0.2">
      <c r="A4" s="112" t="str">
        <f>"ZZZ__FnCalls"</f>
        <v>ZZZ__FnCalls</v>
      </c>
      <c r="B4" s="112"/>
      <c r="C4" s="112"/>
    </row>
    <row r="5" spans="1:8" ht="12.75" customHeight="1" x14ac:dyDescent="0.2">
      <c r="A5" s="112" t="str">
        <f>""</f>
        <v/>
      </c>
      <c r="B5" s="112"/>
      <c r="C5" s="112"/>
    </row>
    <row r="6" spans="1:8" ht="12.75" customHeight="1" x14ac:dyDescent="0.2">
      <c r="A6" s="4">
        <f>IF(WEEKDAY(Labels!B6)&gt;=1,Labels!B6-WEEKDAY(Labels!B6)+1,Labels!B6-(7-(1-WEEKDAY(Labels!B6))))</f>
        <v>40174</v>
      </c>
    </row>
    <row r="7" spans="1:8" ht="12.75" customHeight="1" x14ac:dyDescent="0.2">
      <c r="A7" s="4">
        <f>DATE(YEAR(Labels!B6)+(0),MONTH(Labels!B6)+(0),1)</f>
        <v>40179</v>
      </c>
      <c r="C7" s="4">
        <f>Labels!B6+(0)</f>
        <v>40179</v>
      </c>
      <c r="D7" t="e">
        <f t="shared" ref="D7:D38" si="0">TEXT(C7,"m/d/yyyy")</f>
        <v>#VALUE!</v>
      </c>
      <c r="F7" t="str">
        <f t="shared" ref="F7:F38" si="1">TEXT(A7,"MMM yyyy")</f>
        <v>MMM 2010</v>
      </c>
      <c r="G7" t="str">
        <f>"Q"&amp;(TRUNC((MONTH(A7)-1)/3)+1)&amp;" "&amp;YEAR(A7)</f>
        <v>Q1 2010</v>
      </c>
      <c r="H7" t="str">
        <f>TEXT(YEAR(A7),"0000")</f>
        <v>2010</v>
      </c>
    </row>
    <row r="8" spans="1:8" ht="12.75" customHeight="1" x14ac:dyDescent="0.2">
      <c r="A8" s="4">
        <f>DATE(YEAR(Labels!B6)+(0),MONTH(Labels!B6)+(1),1)</f>
        <v>40210</v>
      </c>
      <c r="C8" s="4">
        <f>Labels!B6+(31)</f>
        <v>40210</v>
      </c>
      <c r="D8" t="e">
        <f t="shared" si="0"/>
        <v>#VALUE!</v>
      </c>
      <c r="F8" t="str">
        <f t="shared" si="1"/>
        <v>MMM 2010</v>
      </c>
    </row>
    <row r="9" spans="1:8" ht="12.75" customHeight="1" x14ac:dyDescent="0.2">
      <c r="A9" s="4">
        <f>DATE(YEAR(Labels!B6)+(0),MONTH(Labels!B6)+(2),1)</f>
        <v>40238</v>
      </c>
      <c r="C9" s="4">
        <f>Labels!B6+(59)</f>
        <v>40238</v>
      </c>
      <c r="D9" t="e">
        <f t="shared" si="0"/>
        <v>#VALUE!</v>
      </c>
      <c r="F9" t="str">
        <f t="shared" si="1"/>
        <v>MMM 2010</v>
      </c>
    </row>
    <row r="10" spans="1:8" ht="12.75" customHeight="1" x14ac:dyDescent="0.2">
      <c r="A10" s="4">
        <f>DATE(YEAR(Labels!B6)+(0),MONTH(Labels!B6)+(3),1)</f>
        <v>40269</v>
      </c>
      <c r="C10" s="4">
        <f>Labels!B6+(90)</f>
        <v>40269</v>
      </c>
      <c r="D10" t="e">
        <f t="shared" si="0"/>
        <v>#VALUE!</v>
      </c>
      <c r="F10" t="str">
        <f t="shared" si="1"/>
        <v>MMM 2010</v>
      </c>
      <c r="G10" t="str">
        <f>"Q"&amp;(TRUNC((MONTH(A10)-1)/3)+1)&amp;" "&amp;YEAR(A10)</f>
        <v>Q2 2010</v>
      </c>
    </row>
    <row r="11" spans="1:8" ht="12.75" customHeight="1" x14ac:dyDescent="0.2">
      <c r="A11" s="4">
        <f>DATE(YEAR(Labels!B6)+(0),MONTH(Labels!B6)+(4),1)</f>
        <v>40299</v>
      </c>
      <c r="C11" s="4">
        <f>Labels!B6+(120)</f>
        <v>40299</v>
      </c>
      <c r="D11" t="e">
        <f t="shared" si="0"/>
        <v>#VALUE!</v>
      </c>
      <c r="F11" t="str">
        <f t="shared" si="1"/>
        <v>MMM 2010</v>
      </c>
    </row>
    <row r="12" spans="1:8" ht="12.75" customHeight="1" x14ac:dyDescent="0.2">
      <c r="A12" s="4">
        <f>DATE(YEAR(Labels!B6)+(0),MONTH(Labels!B6)+(5),1)</f>
        <v>40330</v>
      </c>
      <c r="C12" s="4">
        <f>Labels!B6+(151)</f>
        <v>40330</v>
      </c>
      <c r="D12" t="e">
        <f t="shared" si="0"/>
        <v>#VALUE!</v>
      </c>
      <c r="F12" t="str">
        <f t="shared" si="1"/>
        <v>MMM 2010</v>
      </c>
    </row>
    <row r="13" spans="1:8" ht="12.75" customHeight="1" x14ac:dyDescent="0.2">
      <c r="A13" s="4">
        <f>DATE(YEAR(Labels!B6)+(0),MONTH(Labels!B6)+(6),1)</f>
        <v>40360</v>
      </c>
      <c r="C13" s="4">
        <f>Labels!B6+(181)</f>
        <v>40360</v>
      </c>
      <c r="D13" t="e">
        <f t="shared" si="0"/>
        <v>#VALUE!</v>
      </c>
      <c r="F13" t="str">
        <f t="shared" si="1"/>
        <v>MMM 2010</v>
      </c>
      <c r="G13" t="str">
        <f>"Q"&amp;(TRUNC((MONTH(A13)-1)/3)+1)&amp;" "&amp;YEAR(A13)</f>
        <v>Q3 2010</v>
      </c>
    </row>
    <row r="14" spans="1:8" ht="12.75" customHeight="1" x14ac:dyDescent="0.2">
      <c r="A14" s="4">
        <f>DATE(YEAR(Labels!B6)+(0),MONTH(Labels!B6)+(7),1)</f>
        <v>40391</v>
      </c>
      <c r="B14" s="4">
        <f>A6+(217)</f>
        <v>40391</v>
      </c>
      <c r="C14" s="4">
        <f>Labels!B6+(212)</f>
        <v>40391</v>
      </c>
      <c r="D14" t="e">
        <f t="shared" si="0"/>
        <v>#VALUE!</v>
      </c>
      <c r="E14" t="e">
        <f>"W "&amp;TEXT(B14,"m/d/yyyy")</f>
        <v>#VALUE!</v>
      </c>
      <c r="F14" t="str">
        <f t="shared" si="1"/>
        <v>MMM 2010</v>
      </c>
    </row>
    <row r="15" spans="1:8" ht="12.75" customHeight="1" x14ac:dyDescent="0.2">
      <c r="A15" s="4">
        <f>DATE(YEAR(Labels!B6)+(0),MONTH(Labels!B6)+(8),1)</f>
        <v>40422</v>
      </c>
      <c r="C15" s="4">
        <f>Labels!B6+(243)</f>
        <v>40422</v>
      </c>
      <c r="D15" t="e">
        <f t="shared" si="0"/>
        <v>#VALUE!</v>
      </c>
      <c r="F15" t="str">
        <f t="shared" si="1"/>
        <v>MMM 2010</v>
      </c>
    </row>
    <row r="16" spans="1:8" ht="12.75" customHeight="1" x14ac:dyDescent="0.2">
      <c r="A16" s="4">
        <f>DATE(YEAR(Labels!B6)+(0),MONTH(Labels!B6)+(9),1)</f>
        <v>40452</v>
      </c>
      <c r="C16" s="4">
        <f>Labels!B6+(273)</f>
        <v>40452</v>
      </c>
      <c r="D16" t="e">
        <f t="shared" si="0"/>
        <v>#VALUE!</v>
      </c>
      <c r="F16" t="str">
        <f t="shared" si="1"/>
        <v>MMM 2010</v>
      </c>
      <c r="G16" t="str">
        <f>"Q"&amp;(TRUNC((MONTH(A16)-1)/3)+1)&amp;" "&amp;YEAR(A16)</f>
        <v>Q4 2010</v>
      </c>
    </row>
    <row r="17" spans="1:8" ht="12.75" customHeight="1" x14ac:dyDescent="0.2">
      <c r="A17" s="4">
        <f>DATE(YEAR(Labels!B6)+(0),MONTH(Labels!B6)+(10),1)</f>
        <v>40483</v>
      </c>
      <c r="C17" s="4">
        <f>Labels!B6+(304)</f>
        <v>40483</v>
      </c>
      <c r="D17" t="e">
        <f t="shared" si="0"/>
        <v>#VALUE!</v>
      </c>
      <c r="F17" t="str">
        <f t="shared" si="1"/>
        <v>MMM 2010</v>
      </c>
    </row>
    <row r="18" spans="1:8" ht="12.75" customHeight="1" x14ac:dyDescent="0.2">
      <c r="A18" s="4">
        <f>DATE(YEAR(Labels!B6)+(0),MONTH(Labels!B6)+(11),1)</f>
        <v>40513</v>
      </c>
      <c r="C18" s="4">
        <f>Labels!B6+(334)</f>
        <v>40513</v>
      </c>
      <c r="D18" t="e">
        <f t="shared" si="0"/>
        <v>#VALUE!</v>
      </c>
      <c r="F18" t="str">
        <f t="shared" si="1"/>
        <v>MMM 2010</v>
      </c>
    </row>
    <row r="19" spans="1:8" ht="12.75" customHeight="1" x14ac:dyDescent="0.2">
      <c r="A19" s="4">
        <f>DATE(YEAR(Labels!B6)+(1),MONTH(Labels!B6)+(0),1)</f>
        <v>40544</v>
      </c>
      <c r="C19" s="4">
        <f>Labels!B6+(365)</f>
        <v>40544</v>
      </c>
      <c r="D19" t="e">
        <f t="shared" si="0"/>
        <v>#VALUE!</v>
      </c>
      <c r="F19" t="str">
        <f t="shared" si="1"/>
        <v>MMM 2011</v>
      </c>
      <c r="G19" t="str">
        <f>"Q"&amp;(TRUNC((MONTH(A19)-1)/3)+1)&amp;" "&amp;YEAR(A19)</f>
        <v>Q1 2011</v>
      </c>
      <c r="H19" t="str">
        <f>TEXT(YEAR(A19),"0000")</f>
        <v>2011</v>
      </c>
    </row>
    <row r="20" spans="1:8" ht="12.75" customHeight="1" x14ac:dyDescent="0.2">
      <c r="A20" s="4">
        <f>DATE(YEAR(Labels!B6)+(1),MONTH(Labels!B6)+(1),1)</f>
        <v>40575</v>
      </c>
      <c r="C20" s="4">
        <f>Labels!B6+(396)</f>
        <v>40575</v>
      </c>
      <c r="D20" t="e">
        <f t="shared" si="0"/>
        <v>#VALUE!</v>
      </c>
      <c r="F20" t="str">
        <f t="shared" si="1"/>
        <v>MMM 2011</v>
      </c>
    </row>
    <row r="21" spans="1:8" ht="12.75" customHeight="1" x14ac:dyDescent="0.2">
      <c r="A21" s="4">
        <f>DATE(YEAR(Labels!B6)+(1),MONTH(Labels!B6)+(2),1)</f>
        <v>40603</v>
      </c>
      <c r="C21" s="4">
        <f>Labels!B6+(424)</f>
        <v>40603</v>
      </c>
      <c r="D21" t="e">
        <f t="shared" si="0"/>
        <v>#VALUE!</v>
      </c>
      <c r="F21" t="str">
        <f t="shared" si="1"/>
        <v>MMM 2011</v>
      </c>
    </row>
    <row r="22" spans="1:8" ht="12.75" customHeight="1" x14ac:dyDescent="0.2">
      <c r="A22" s="4">
        <f>DATE(YEAR(Labels!B6)+(1),MONTH(Labels!B6)+(3),1)</f>
        <v>40634</v>
      </c>
      <c r="C22" s="4">
        <f>Labels!B6+(455)</f>
        <v>40634</v>
      </c>
      <c r="D22" t="e">
        <f t="shared" si="0"/>
        <v>#VALUE!</v>
      </c>
      <c r="F22" t="str">
        <f t="shared" si="1"/>
        <v>MMM 2011</v>
      </c>
      <c r="G22" t="str">
        <f>"Q"&amp;(TRUNC((MONTH(A22)-1)/3)+1)&amp;" "&amp;YEAR(A22)</f>
        <v>Q2 2011</v>
      </c>
    </row>
    <row r="23" spans="1:8" ht="12.75" customHeight="1" x14ac:dyDescent="0.2">
      <c r="A23" s="4">
        <f>DATE(YEAR(Labels!B6)+(1),MONTH(Labels!B6)+(4),1)</f>
        <v>40664</v>
      </c>
      <c r="B23" s="4">
        <f>A6+(490)</f>
        <v>40664</v>
      </c>
      <c r="C23" s="4">
        <f>Labels!B6+(485)</f>
        <v>40664</v>
      </c>
      <c r="D23" t="e">
        <f t="shared" si="0"/>
        <v>#VALUE!</v>
      </c>
      <c r="E23" t="e">
        <f>"W "&amp;TEXT(B23,"m/d/yyyy")</f>
        <v>#VALUE!</v>
      </c>
      <c r="F23" t="str">
        <f t="shared" si="1"/>
        <v>MMM 2011</v>
      </c>
    </row>
    <row r="24" spans="1:8" ht="12.75" customHeight="1" x14ac:dyDescent="0.2">
      <c r="A24" s="4">
        <f>DATE(YEAR(Labels!B6)+(1),MONTH(Labels!B6)+(5),1)</f>
        <v>40695</v>
      </c>
      <c r="C24" s="4">
        <f>Labels!B6+(516)</f>
        <v>40695</v>
      </c>
      <c r="D24" t="e">
        <f t="shared" si="0"/>
        <v>#VALUE!</v>
      </c>
      <c r="F24" t="str">
        <f t="shared" si="1"/>
        <v>MMM 2011</v>
      </c>
    </row>
    <row r="25" spans="1:8" ht="12.75" customHeight="1" x14ac:dyDescent="0.2">
      <c r="A25" s="4">
        <f>DATE(YEAR(Labels!B6)+(1),MONTH(Labels!B6)+(6),1)</f>
        <v>40725</v>
      </c>
      <c r="C25" s="4">
        <f>Labels!B6+(546)</f>
        <v>40725</v>
      </c>
      <c r="D25" t="e">
        <f t="shared" si="0"/>
        <v>#VALUE!</v>
      </c>
      <c r="F25" t="str">
        <f t="shared" si="1"/>
        <v>MMM 2011</v>
      </c>
      <c r="G25" t="str">
        <f>"Q"&amp;(TRUNC((MONTH(A25)-1)/3)+1)&amp;" "&amp;YEAR(A25)</f>
        <v>Q3 2011</v>
      </c>
    </row>
    <row r="26" spans="1:8" ht="12.75" customHeight="1" x14ac:dyDescent="0.2">
      <c r="A26" s="4">
        <f>DATE(YEAR(Labels!B6)+(1),MONTH(Labels!B6)+(7),1)</f>
        <v>40756</v>
      </c>
      <c r="C26" s="4">
        <f>Labels!B6+(577)</f>
        <v>40756</v>
      </c>
      <c r="D26" t="e">
        <f t="shared" si="0"/>
        <v>#VALUE!</v>
      </c>
      <c r="F26" t="str">
        <f t="shared" si="1"/>
        <v>MMM 2011</v>
      </c>
    </row>
    <row r="27" spans="1:8" ht="12.75" customHeight="1" x14ac:dyDescent="0.2">
      <c r="A27" s="4">
        <f>DATE(YEAR(Labels!B6)+(1),MONTH(Labels!B6)+(8),1)</f>
        <v>40787</v>
      </c>
      <c r="C27" s="4">
        <f>Labels!B6+(608)</f>
        <v>40787</v>
      </c>
      <c r="D27" t="e">
        <f t="shared" si="0"/>
        <v>#VALUE!</v>
      </c>
      <c r="F27" t="str">
        <f t="shared" si="1"/>
        <v>MMM 2011</v>
      </c>
    </row>
    <row r="28" spans="1:8" ht="12.75" customHeight="1" x14ac:dyDescent="0.2">
      <c r="A28" s="4">
        <f>DATE(YEAR(Labels!B6)+(1),MONTH(Labels!B6)+(9),1)</f>
        <v>40817</v>
      </c>
      <c r="C28" s="4">
        <f>Labels!B6+(638)</f>
        <v>40817</v>
      </c>
      <c r="D28" t="e">
        <f t="shared" si="0"/>
        <v>#VALUE!</v>
      </c>
      <c r="F28" t="str">
        <f t="shared" si="1"/>
        <v>MMM 2011</v>
      </c>
      <c r="G28" t="str">
        <f>"Q"&amp;(TRUNC((MONTH(A28)-1)/3)+1)&amp;" "&amp;YEAR(A28)</f>
        <v>Q4 2011</v>
      </c>
    </row>
    <row r="29" spans="1:8" ht="12.75" customHeight="1" x14ac:dyDescent="0.2">
      <c r="A29" s="4">
        <f>DATE(YEAR(Labels!B6)+(1),MONTH(Labels!B6)+(10),1)</f>
        <v>40848</v>
      </c>
      <c r="C29" s="4">
        <f>Labels!B6+(669)</f>
        <v>40848</v>
      </c>
      <c r="D29" t="e">
        <f t="shared" si="0"/>
        <v>#VALUE!</v>
      </c>
      <c r="F29" t="str">
        <f t="shared" si="1"/>
        <v>MMM 2011</v>
      </c>
    </row>
    <row r="30" spans="1:8" ht="12.75" customHeight="1" x14ac:dyDescent="0.2">
      <c r="A30" s="4">
        <f>DATE(YEAR(Labels!B6)+(1),MONTH(Labels!B6)+(11),1)</f>
        <v>40878</v>
      </c>
      <c r="C30" s="4">
        <f>Labels!B6+(699)</f>
        <v>40878</v>
      </c>
      <c r="D30" t="e">
        <f t="shared" si="0"/>
        <v>#VALUE!</v>
      </c>
      <c r="F30" t="str">
        <f t="shared" si="1"/>
        <v>MMM 2011</v>
      </c>
    </row>
    <row r="31" spans="1:8" ht="12.75" customHeight="1" x14ac:dyDescent="0.2">
      <c r="A31" s="4">
        <f>DATE(YEAR(Labels!B6)+(2),MONTH(Labels!B6)+(0),1)</f>
        <v>40909</v>
      </c>
      <c r="B31" s="4">
        <f>A6+(735)</f>
        <v>40909</v>
      </c>
      <c r="C31" s="4">
        <f>Labels!B6+(730)</f>
        <v>40909</v>
      </c>
      <c r="D31" t="e">
        <f t="shared" si="0"/>
        <v>#VALUE!</v>
      </c>
      <c r="E31" t="e">
        <f>"W "&amp;TEXT(B31,"m/d/yyyy")</f>
        <v>#VALUE!</v>
      </c>
      <c r="F31" t="str">
        <f t="shared" si="1"/>
        <v>MMM 2012</v>
      </c>
      <c r="G31" t="str">
        <f>"Q"&amp;(TRUNC((MONTH(A31)-1)/3)+1)&amp;" "&amp;YEAR(A31)</f>
        <v>Q1 2012</v>
      </c>
      <c r="H31" t="str">
        <f>TEXT(YEAR(A31),"0000")</f>
        <v>2012</v>
      </c>
    </row>
    <row r="32" spans="1:8" ht="12.75" customHeight="1" x14ac:dyDescent="0.2">
      <c r="A32" s="4">
        <f>DATE(YEAR(Labels!B6)+(2),MONTH(Labels!B6)+(1),1)</f>
        <v>40940</v>
      </c>
      <c r="C32" s="4">
        <f>Labels!B6+(761)</f>
        <v>40940</v>
      </c>
      <c r="D32" t="e">
        <f t="shared" si="0"/>
        <v>#VALUE!</v>
      </c>
      <c r="F32" t="str">
        <f t="shared" si="1"/>
        <v>MMM 2012</v>
      </c>
    </row>
    <row r="33" spans="1:8" ht="12.75" customHeight="1" x14ac:dyDescent="0.2">
      <c r="A33" s="4">
        <f>DATE(YEAR(Labels!B6)+(2),MONTH(Labels!B6)+(2),1)</f>
        <v>40969</v>
      </c>
      <c r="C33" s="4">
        <f>Labels!B6+(790)</f>
        <v>40969</v>
      </c>
      <c r="D33" t="e">
        <f t="shared" si="0"/>
        <v>#VALUE!</v>
      </c>
      <c r="F33" t="str">
        <f t="shared" si="1"/>
        <v>MMM 2012</v>
      </c>
    </row>
    <row r="34" spans="1:8" ht="12.75" customHeight="1" x14ac:dyDescent="0.2">
      <c r="A34" s="4">
        <f>DATE(YEAR(Labels!B6)+(2),MONTH(Labels!B6)+(3),1)</f>
        <v>41000</v>
      </c>
      <c r="B34" s="4">
        <f>A6+(826)</f>
        <v>41000</v>
      </c>
      <c r="C34" s="4">
        <f>Labels!B6+(821)</f>
        <v>41000</v>
      </c>
      <c r="D34" t="e">
        <f t="shared" si="0"/>
        <v>#VALUE!</v>
      </c>
      <c r="E34" t="e">
        <f>"W "&amp;TEXT(B34,"m/d/yyyy")</f>
        <v>#VALUE!</v>
      </c>
      <c r="F34" t="str">
        <f t="shared" si="1"/>
        <v>MMM 2012</v>
      </c>
      <c r="G34" t="str">
        <f>"Q"&amp;(TRUNC((MONTH(A34)-1)/3)+1)&amp;" "&amp;YEAR(A34)</f>
        <v>Q2 2012</v>
      </c>
    </row>
    <row r="35" spans="1:8" ht="12.75" customHeight="1" x14ac:dyDescent="0.2">
      <c r="A35" s="4">
        <f>DATE(YEAR(Labels!B6)+(2),MONTH(Labels!B6)+(4),1)</f>
        <v>41030</v>
      </c>
      <c r="C35" s="4">
        <f>Labels!B6+(851)</f>
        <v>41030</v>
      </c>
      <c r="D35" t="e">
        <f t="shared" si="0"/>
        <v>#VALUE!</v>
      </c>
      <c r="F35" t="str">
        <f t="shared" si="1"/>
        <v>MMM 2012</v>
      </c>
    </row>
    <row r="36" spans="1:8" ht="12.75" customHeight="1" x14ac:dyDescent="0.2">
      <c r="A36" s="4">
        <f>DATE(YEAR(Labels!B6)+(2),MONTH(Labels!B6)+(5),1)</f>
        <v>41061</v>
      </c>
      <c r="C36" s="4">
        <f>Labels!B6+(882)</f>
        <v>41061</v>
      </c>
      <c r="D36" t="e">
        <f t="shared" si="0"/>
        <v>#VALUE!</v>
      </c>
      <c r="F36" t="str">
        <f t="shared" si="1"/>
        <v>MMM 2012</v>
      </c>
    </row>
    <row r="37" spans="1:8" ht="12.75" customHeight="1" x14ac:dyDescent="0.2">
      <c r="A37" s="4">
        <f>DATE(YEAR(Labels!B6)+(2),MONTH(Labels!B6)+(6),1)</f>
        <v>41091</v>
      </c>
      <c r="B37" s="4">
        <f>A6+(917)</f>
        <v>41091</v>
      </c>
      <c r="C37" s="4">
        <f>Labels!B6+(912)</f>
        <v>41091</v>
      </c>
      <c r="D37" t="e">
        <f t="shared" si="0"/>
        <v>#VALUE!</v>
      </c>
      <c r="E37" t="e">
        <f>"W "&amp;TEXT(B37,"m/d/yyyy")</f>
        <v>#VALUE!</v>
      </c>
      <c r="F37" t="str">
        <f t="shared" si="1"/>
        <v>MMM 2012</v>
      </c>
      <c r="G37" t="str">
        <f>"Q"&amp;(TRUNC((MONTH(A37)-1)/3)+1)&amp;" "&amp;YEAR(A37)</f>
        <v>Q3 2012</v>
      </c>
    </row>
    <row r="38" spans="1:8" ht="12.75" customHeight="1" x14ac:dyDescent="0.2">
      <c r="A38" s="4">
        <f>DATE(YEAR(Labels!B6)+(2),MONTH(Labels!B6)+(7),1)</f>
        <v>41122</v>
      </c>
      <c r="C38" s="4">
        <f>Labels!B6+(943)</f>
        <v>41122</v>
      </c>
      <c r="D38" t="e">
        <f t="shared" si="0"/>
        <v>#VALUE!</v>
      </c>
      <c r="F38" t="str">
        <f t="shared" si="1"/>
        <v>MMM 2012</v>
      </c>
    </row>
    <row r="39" spans="1:8" ht="12.75" customHeight="1" x14ac:dyDescent="0.2">
      <c r="A39" s="4">
        <f>DATE(YEAR(Labels!B6)+(2),MONTH(Labels!B6)+(8),1)</f>
        <v>41153</v>
      </c>
      <c r="C39" s="4">
        <f>Labels!B6+(974)</f>
        <v>41153</v>
      </c>
      <c r="D39" t="e">
        <f t="shared" ref="D39:D70" si="2">TEXT(C39,"m/d/yyyy")</f>
        <v>#VALUE!</v>
      </c>
      <c r="F39" t="str">
        <f t="shared" ref="F39:F70" si="3">TEXT(A39,"MMM yyyy")</f>
        <v>MMM 2012</v>
      </c>
    </row>
    <row r="40" spans="1:8" ht="12.75" customHeight="1" x14ac:dyDescent="0.2">
      <c r="A40" s="4">
        <f>DATE(YEAR(Labels!B6)+(2),MONTH(Labels!B6)+(9),1)</f>
        <v>41183</v>
      </c>
      <c r="C40" s="4">
        <f>Labels!B6+(1004)</f>
        <v>41183</v>
      </c>
      <c r="D40" t="e">
        <f t="shared" si="2"/>
        <v>#VALUE!</v>
      </c>
      <c r="F40" t="str">
        <f t="shared" si="3"/>
        <v>MMM 2012</v>
      </c>
      <c r="G40" t="str">
        <f>"Q"&amp;(TRUNC((MONTH(A40)-1)/3)+1)&amp;" "&amp;YEAR(A40)</f>
        <v>Q4 2012</v>
      </c>
    </row>
    <row r="41" spans="1:8" ht="12.75" customHeight="1" x14ac:dyDescent="0.2">
      <c r="A41" s="4">
        <f>DATE(YEAR(Labels!B6)+(2),MONTH(Labels!B6)+(10),1)</f>
        <v>41214</v>
      </c>
      <c r="C41" s="4">
        <f>Labels!B6+(1035)</f>
        <v>41214</v>
      </c>
      <c r="D41" t="e">
        <f t="shared" si="2"/>
        <v>#VALUE!</v>
      </c>
      <c r="F41" t="str">
        <f t="shared" si="3"/>
        <v>MMM 2012</v>
      </c>
    </row>
    <row r="42" spans="1:8" ht="12.75" customHeight="1" x14ac:dyDescent="0.2">
      <c r="A42" s="4">
        <f>DATE(YEAR(Labels!B6)+(2),MONTH(Labels!B6)+(11),1)</f>
        <v>41244</v>
      </c>
      <c r="C42" s="4">
        <f>Labels!B6+(1065)</f>
        <v>41244</v>
      </c>
      <c r="D42" t="e">
        <f t="shared" si="2"/>
        <v>#VALUE!</v>
      </c>
      <c r="F42" t="str">
        <f t="shared" si="3"/>
        <v>MMM 2012</v>
      </c>
    </row>
    <row r="43" spans="1:8" ht="12.75" customHeight="1" x14ac:dyDescent="0.2">
      <c r="A43" s="4">
        <f>DATE(YEAR(Labels!B6)+(3),MONTH(Labels!B6)+(0),1)</f>
        <v>41275</v>
      </c>
      <c r="C43" s="4">
        <f>Labels!B6+(1096)</f>
        <v>41275</v>
      </c>
      <c r="D43" t="e">
        <f t="shared" si="2"/>
        <v>#VALUE!</v>
      </c>
      <c r="F43" t="str">
        <f t="shared" si="3"/>
        <v>MMM 2013</v>
      </c>
      <c r="G43" t="str">
        <f>"Q"&amp;(TRUNC((MONTH(A43)-1)/3)+1)&amp;" "&amp;YEAR(A43)</f>
        <v>Q1 2013</v>
      </c>
      <c r="H43" t="str">
        <f>TEXT(YEAR(A43),"0000")</f>
        <v>2013</v>
      </c>
    </row>
    <row r="44" spans="1:8" ht="12.75" customHeight="1" x14ac:dyDescent="0.2">
      <c r="A44" s="4">
        <f>DATE(YEAR(Labels!B6)+(3),MONTH(Labels!B6)+(1),1)</f>
        <v>41306</v>
      </c>
      <c r="C44" s="4">
        <f>Labels!B6+(1127)</f>
        <v>41306</v>
      </c>
      <c r="D44" t="e">
        <f t="shared" si="2"/>
        <v>#VALUE!</v>
      </c>
      <c r="F44" t="str">
        <f t="shared" si="3"/>
        <v>MMM 2013</v>
      </c>
    </row>
    <row r="45" spans="1:8" ht="12.75" customHeight="1" x14ac:dyDescent="0.2">
      <c r="A45" s="4">
        <f>DATE(YEAR(Labels!B6)+(3),MONTH(Labels!B6)+(2),1)</f>
        <v>41334</v>
      </c>
      <c r="C45" s="4">
        <f>Labels!B6+(1155)</f>
        <v>41334</v>
      </c>
      <c r="D45" t="e">
        <f t="shared" si="2"/>
        <v>#VALUE!</v>
      </c>
      <c r="F45" t="str">
        <f t="shared" si="3"/>
        <v>MMM 2013</v>
      </c>
    </row>
    <row r="46" spans="1:8" ht="12.75" customHeight="1" x14ac:dyDescent="0.2">
      <c r="A46" s="4">
        <f>DATE(YEAR(Labels!B6)+(3),MONTH(Labels!B6)+(3),1)</f>
        <v>41365</v>
      </c>
      <c r="C46" s="4">
        <f>Labels!B6+(1186)</f>
        <v>41365</v>
      </c>
      <c r="D46" t="e">
        <f t="shared" si="2"/>
        <v>#VALUE!</v>
      </c>
      <c r="F46" t="str">
        <f t="shared" si="3"/>
        <v>MMM 2013</v>
      </c>
      <c r="G46" t="str">
        <f>"Q"&amp;(TRUNC((MONTH(A46)-1)/3)+1)&amp;" "&amp;YEAR(A46)</f>
        <v>Q2 2013</v>
      </c>
    </row>
    <row r="47" spans="1:8" ht="12.75" customHeight="1" x14ac:dyDescent="0.2">
      <c r="A47" s="4">
        <f>DATE(YEAR(Labels!B6)+(3),MONTH(Labels!B6)+(4),1)</f>
        <v>41395</v>
      </c>
      <c r="C47" s="4">
        <f>Labels!B6+(1216)</f>
        <v>41395</v>
      </c>
      <c r="D47" t="e">
        <f t="shared" si="2"/>
        <v>#VALUE!</v>
      </c>
      <c r="F47" t="str">
        <f t="shared" si="3"/>
        <v>MMM 2013</v>
      </c>
    </row>
    <row r="48" spans="1:8" ht="12.75" customHeight="1" x14ac:dyDescent="0.2">
      <c r="A48" s="4">
        <f>DATE(YEAR(Labels!B6)+(3),MONTH(Labels!B6)+(5),1)</f>
        <v>41426</v>
      </c>
      <c r="C48" s="4">
        <f>Labels!B6+(1247)</f>
        <v>41426</v>
      </c>
      <c r="D48" t="e">
        <f t="shared" si="2"/>
        <v>#VALUE!</v>
      </c>
      <c r="F48" t="str">
        <f t="shared" si="3"/>
        <v>MMM 2013</v>
      </c>
    </row>
    <row r="49" spans="1:8" ht="12.75" customHeight="1" x14ac:dyDescent="0.2">
      <c r="A49" s="4">
        <f>DATE(YEAR(Labels!B6)+(3),MONTH(Labels!B6)+(6),1)</f>
        <v>41456</v>
      </c>
      <c r="C49" s="4">
        <f>Labels!B6+(1277)</f>
        <v>41456</v>
      </c>
      <c r="D49" t="e">
        <f t="shared" si="2"/>
        <v>#VALUE!</v>
      </c>
      <c r="F49" t="str">
        <f t="shared" si="3"/>
        <v>MMM 2013</v>
      </c>
      <c r="G49" t="str">
        <f>"Q"&amp;(TRUNC((MONTH(A49)-1)/3)+1)&amp;" "&amp;YEAR(A49)</f>
        <v>Q3 2013</v>
      </c>
    </row>
    <row r="50" spans="1:8" ht="12.75" customHeight="1" x14ac:dyDescent="0.2">
      <c r="A50" s="4">
        <f>DATE(YEAR(Labels!B6)+(3),MONTH(Labels!B6)+(7),1)</f>
        <v>41487</v>
      </c>
      <c r="C50" s="4">
        <f>Labels!B6+(1308)</f>
        <v>41487</v>
      </c>
      <c r="D50" t="e">
        <f t="shared" si="2"/>
        <v>#VALUE!</v>
      </c>
      <c r="F50" t="str">
        <f t="shared" si="3"/>
        <v>MMM 2013</v>
      </c>
    </row>
    <row r="51" spans="1:8" ht="12.75" customHeight="1" x14ac:dyDescent="0.2">
      <c r="A51" s="4">
        <f>DATE(YEAR(Labels!B6)+(3),MONTH(Labels!B6)+(8),1)</f>
        <v>41518</v>
      </c>
      <c r="B51" s="4">
        <f>A6+(1344)</f>
        <v>41518</v>
      </c>
      <c r="C51" s="4">
        <f>Labels!B6+(1339)</f>
        <v>41518</v>
      </c>
      <c r="D51" t="e">
        <f t="shared" si="2"/>
        <v>#VALUE!</v>
      </c>
      <c r="E51" t="e">
        <f>"W "&amp;TEXT(B51,"m/d/yyyy")</f>
        <v>#VALUE!</v>
      </c>
      <c r="F51" t="str">
        <f t="shared" si="3"/>
        <v>MMM 2013</v>
      </c>
    </row>
    <row r="52" spans="1:8" ht="12.75" customHeight="1" x14ac:dyDescent="0.2">
      <c r="A52" s="4">
        <f>DATE(YEAR(Labels!B6)+(3),MONTH(Labels!B6)+(9),1)</f>
        <v>41548</v>
      </c>
      <c r="C52" s="4">
        <f>Labels!B6+(1369)</f>
        <v>41548</v>
      </c>
      <c r="D52" t="e">
        <f t="shared" si="2"/>
        <v>#VALUE!</v>
      </c>
      <c r="F52" t="str">
        <f t="shared" si="3"/>
        <v>MMM 2013</v>
      </c>
      <c r="G52" t="str">
        <f>"Q"&amp;(TRUNC((MONTH(A52)-1)/3)+1)&amp;" "&amp;YEAR(A52)</f>
        <v>Q4 2013</v>
      </c>
    </row>
    <row r="53" spans="1:8" ht="12.75" customHeight="1" x14ac:dyDescent="0.2">
      <c r="A53" s="4">
        <f>DATE(YEAR(Labels!B6)+(3),MONTH(Labels!B6)+(10),1)</f>
        <v>41579</v>
      </c>
      <c r="C53" s="4">
        <f>Labels!B6+(1400)</f>
        <v>41579</v>
      </c>
      <c r="D53" t="e">
        <f t="shared" si="2"/>
        <v>#VALUE!</v>
      </c>
      <c r="F53" t="str">
        <f t="shared" si="3"/>
        <v>MMM 2013</v>
      </c>
    </row>
    <row r="54" spans="1:8" ht="12.75" customHeight="1" x14ac:dyDescent="0.2">
      <c r="A54" s="4">
        <f>DATE(YEAR(Labels!B6)+(3),MONTH(Labels!B6)+(11),1)</f>
        <v>41609</v>
      </c>
      <c r="B54" s="4">
        <f>A6+(1435)</f>
        <v>41609</v>
      </c>
      <c r="C54" s="4">
        <f>Labels!B6+(1430)</f>
        <v>41609</v>
      </c>
      <c r="D54" t="e">
        <f t="shared" si="2"/>
        <v>#VALUE!</v>
      </c>
      <c r="E54" t="e">
        <f>"W "&amp;TEXT(B54,"m/d/yyyy")</f>
        <v>#VALUE!</v>
      </c>
      <c r="F54" t="str">
        <f t="shared" si="3"/>
        <v>MMM 2013</v>
      </c>
    </row>
    <row r="55" spans="1:8" ht="12.75" customHeight="1" x14ac:dyDescent="0.2">
      <c r="A55" s="4">
        <f>DATE(YEAR(Labels!B6)+(4),MONTH(Labels!B6)+(0),1)</f>
        <v>41640</v>
      </c>
      <c r="C55" s="4">
        <f>Labels!B6+(1461)</f>
        <v>41640</v>
      </c>
      <c r="D55" t="e">
        <f t="shared" si="2"/>
        <v>#VALUE!</v>
      </c>
      <c r="F55" t="str">
        <f t="shared" si="3"/>
        <v>MMM 2014</v>
      </c>
      <c r="G55" t="str">
        <f>"Q"&amp;(TRUNC((MONTH(A55)-1)/3)+1)&amp;" "&amp;YEAR(A55)</f>
        <v>Q1 2014</v>
      </c>
      <c r="H55" t="str">
        <f>TEXT(YEAR(A55),"0000")</f>
        <v>2014</v>
      </c>
    </row>
    <row r="56" spans="1:8" ht="12.75" customHeight="1" x14ac:dyDescent="0.2">
      <c r="A56" s="4">
        <f>DATE(YEAR(Labels!B6)+(4),MONTH(Labels!B6)+(1),1)</f>
        <v>41671</v>
      </c>
      <c r="C56" s="4">
        <f>Labels!B6+(1492)</f>
        <v>41671</v>
      </c>
      <c r="D56" t="e">
        <f t="shared" si="2"/>
        <v>#VALUE!</v>
      </c>
      <c r="F56" t="str">
        <f t="shared" si="3"/>
        <v>MMM 2014</v>
      </c>
    </row>
    <row r="57" spans="1:8" ht="12.75" customHeight="1" x14ac:dyDescent="0.2">
      <c r="A57" s="4">
        <f>DATE(YEAR(Labels!B6)+(4),MONTH(Labels!B6)+(2),1)</f>
        <v>41699</v>
      </c>
      <c r="C57" s="4">
        <f>Labels!B6+(1520)</f>
        <v>41699</v>
      </c>
      <c r="D57" t="e">
        <f t="shared" si="2"/>
        <v>#VALUE!</v>
      </c>
      <c r="F57" t="str">
        <f t="shared" si="3"/>
        <v>MMM 2014</v>
      </c>
    </row>
    <row r="58" spans="1:8" ht="12.75" customHeight="1" x14ac:dyDescent="0.2">
      <c r="A58" s="4">
        <f>DATE(YEAR(Labels!B6)+(4),MONTH(Labels!B6)+(3),1)</f>
        <v>41730</v>
      </c>
      <c r="C58" s="4">
        <f>Labels!B6+(1551)</f>
        <v>41730</v>
      </c>
      <c r="D58" t="e">
        <f t="shared" si="2"/>
        <v>#VALUE!</v>
      </c>
      <c r="F58" t="str">
        <f t="shared" si="3"/>
        <v>MMM 2014</v>
      </c>
      <c r="G58" t="str">
        <f>"Q"&amp;(TRUNC((MONTH(A58)-1)/3)+1)&amp;" "&amp;YEAR(A58)</f>
        <v>Q2 2014</v>
      </c>
    </row>
    <row r="59" spans="1:8" ht="12.75" customHeight="1" x14ac:dyDescent="0.2">
      <c r="A59" s="4">
        <f>DATE(YEAR(Labels!B6)+(4),MONTH(Labels!B6)+(4),1)</f>
        <v>41760</v>
      </c>
      <c r="C59" s="4">
        <f>Labels!B6+(1581)</f>
        <v>41760</v>
      </c>
      <c r="D59" t="e">
        <f t="shared" si="2"/>
        <v>#VALUE!</v>
      </c>
      <c r="F59" t="str">
        <f t="shared" si="3"/>
        <v>MMM 2014</v>
      </c>
    </row>
    <row r="60" spans="1:8" ht="12.75" customHeight="1" x14ac:dyDescent="0.2">
      <c r="A60" s="4">
        <f>DATE(YEAR(Labels!B6)+(4),MONTH(Labels!B6)+(5),1)</f>
        <v>41791</v>
      </c>
      <c r="B60" s="4">
        <f>A6+(1617)</f>
        <v>41791</v>
      </c>
      <c r="C60" s="4">
        <f>Labels!B6+(1612)</f>
        <v>41791</v>
      </c>
      <c r="D60" t="e">
        <f t="shared" si="2"/>
        <v>#VALUE!</v>
      </c>
      <c r="E60" t="e">
        <f>"W "&amp;TEXT(B60,"m/d/yyyy")</f>
        <v>#VALUE!</v>
      </c>
      <c r="F60" t="str">
        <f t="shared" si="3"/>
        <v>MMM 2014</v>
      </c>
    </row>
    <row r="61" spans="1:8" ht="12.75" customHeight="1" x14ac:dyDescent="0.2">
      <c r="A61" s="4">
        <f>DATE(YEAR(Labels!B6)+(4),MONTH(Labels!B6)+(6),1)</f>
        <v>41821</v>
      </c>
      <c r="C61" s="4">
        <f>Labels!B6+(1642)</f>
        <v>41821</v>
      </c>
      <c r="D61" t="e">
        <f t="shared" si="2"/>
        <v>#VALUE!</v>
      </c>
      <c r="F61" t="str">
        <f t="shared" si="3"/>
        <v>MMM 2014</v>
      </c>
      <c r="G61" t="str">
        <f>"Q"&amp;(TRUNC((MONTH(A61)-1)/3)+1)&amp;" "&amp;YEAR(A61)</f>
        <v>Q3 2014</v>
      </c>
    </row>
    <row r="62" spans="1:8" ht="12.75" customHeight="1" x14ac:dyDescent="0.2">
      <c r="A62" s="4">
        <f>DATE(YEAR(Labels!B6)+(4),MONTH(Labels!B6)+(7),1)</f>
        <v>41852</v>
      </c>
      <c r="C62" s="4">
        <f>Labels!B6+(1673)</f>
        <v>41852</v>
      </c>
      <c r="D62" t="e">
        <f t="shared" si="2"/>
        <v>#VALUE!</v>
      </c>
      <c r="F62" t="str">
        <f t="shared" si="3"/>
        <v>MMM 2014</v>
      </c>
    </row>
    <row r="63" spans="1:8" ht="12.75" customHeight="1" x14ac:dyDescent="0.2">
      <c r="A63" s="4">
        <f>DATE(YEAR(Labels!B6)+(4),MONTH(Labels!B6)+(8),1)</f>
        <v>41883</v>
      </c>
      <c r="C63" s="4">
        <f>Labels!B6+(1704)</f>
        <v>41883</v>
      </c>
      <c r="D63" t="e">
        <f t="shared" si="2"/>
        <v>#VALUE!</v>
      </c>
      <c r="F63" t="str">
        <f t="shared" si="3"/>
        <v>MMM 2014</v>
      </c>
    </row>
    <row r="64" spans="1:8" ht="12.75" customHeight="1" x14ac:dyDescent="0.2">
      <c r="A64" s="4">
        <f>DATE(YEAR(Labels!B6)+(4),MONTH(Labels!B6)+(9),1)</f>
        <v>41913</v>
      </c>
      <c r="C64" s="4">
        <f>Labels!B6+(1734)</f>
        <v>41913</v>
      </c>
      <c r="D64" t="e">
        <f t="shared" si="2"/>
        <v>#VALUE!</v>
      </c>
      <c r="F64" t="str">
        <f t="shared" si="3"/>
        <v>MMM 2014</v>
      </c>
      <c r="G64" t="str">
        <f>"Q"&amp;(TRUNC((MONTH(A64)-1)/3)+1)&amp;" "&amp;YEAR(A64)</f>
        <v>Q4 2014</v>
      </c>
    </row>
    <row r="65" spans="1:8" ht="12.75" customHeight="1" x14ac:dyDescent="0.2">
      <c r="A65" s="4">
        <f>DATE(YEAR(Labels!B6)+(4),MONTH(Labels!B6)+(10),1)</f>
        <v>41944</v>
      </c>
      <c r="C65" s="4">
        <f>Labels!B6+(1765)</f>
        <v>41944</v>
      </c>
      <c r="D65" t="e">
        <f t="shared" si="2"/>
        <v>#VALUE!</v>
      </c>
      <c r="F65" t="str">
        <f t="shared" si="3"/>
        <v>MMM 2014</v>
      </c>
    </row>
    <row r="66" spans="1:8" ht="12.75" customHeight="1" x14ac:dyDescent="0.2">
      <c r="A66" s="4">
        <f>DATE(YEAR(Labels!B6)+(4),MONTH(Labels!B6)+(11),1)</f>
        <v>41974</v>
      </c>
      <c r="C66" s="4">
        <f>Labels!B6+(1795)</f>
        <v>41974</v>
      </c>
      <c r="D66" t="e">
        <f t="shared" si="2"/>
        <v>#VALUE!</v>
      </c>
      <c r="F66" t="str">
        <f t="shared" si="3"/>
        <v>MMM 2014</v>
      </c>
    </row>
    <row r="67" spans="1:8" ht="12.75" customHeight="1" x14ac:dyDescent="0.2">
      <c r="A67" s="4">
        <f>DATE(YEAR(Labels!B6)+(5),MONTH(Labels!B6)+(0),1)</f>
        <v>42005</v>
      </c>
      <c r="C67" s="4">
        <f>Labels!B6+(1826)</f>
        <v>42005</v>
      </c>
      <c r="D67" t="e">
        <f t="shared" si="2"/>
        <v>#VALUE!</v>
      </c>
      <c r="F67" t="str">
        <f t="shared" si="3"/>
        <v>MMM 2015</v>
      </c>
      <c r="G67" t="str">
        <f>"Q"&amp;(TRUNC((MONTH(A67)-1)/3)+1)&amp;" "&amp;YEAR(A67)</f>
        <v>Q1 2015</v>
      </c>
      <c r="H67" t="str">
        <f>TEXT(YEAR(A67),"0000")</f>
        <v>2015</v>
      </c>
    </row>
    <row r="68" spans="1:8" ht="12.75" customHeight="1" x14ac:dyDescent="0.2">
      <c r="A68" s="4">
        <f>DATE(YEAR(Labels!B6)+(5),MONTH(Labels!B6)+(1),1)</f>
        <v>42036</v>
      </c>
      <c r="B68" s="4">
        <f>A6+(1862)</f>
        <v>42036</v>
      </c>
      <c r="C68" s="4">
        <f>Labels!B6+(1857)</f>
        <v>42036</v>
      </c>
      <c r="D68" t="e">
        <f t="shared" si="2"/>
        <v>#VALUE!</v>
      </c>
      <c r="E68" t="e">
        <f>"W "&amp;TEXT(B68,"m/d/yyyy")</f>
        <v>#VALUE!</v>
      </c>
      <c r="F68" t="str">
        <f t="shared" si="3"/>
        <v>MMM 2015</v>
      </c>
    </row>
    <row r="69" spans="1:8" ht="12.75" customHeight="1" x14ac:dyDescent="0.2">
      <c r="A69" s="4">
        <f>DATE(YEAR(Labels!B6)+(5),MONTH(Labels!B6)+(2),1)</f>
        <v>42064</v>
      </c>
      <c r="B69" s="4">
        <f>A6+(1890)</f>
        <v>42064</v>
      </c>
      <c r="C69" s="4">
        <f>Labels!B6+(1885)</f>
        <v>42064</v>
      </c>
      <c r="D69" t="e">
        <f t="shared" si="2"/>
        <v>#VALUE!</v>
      </c>
      <c r="E69" t="e">
        <f>"W "&amp;TEXT(B69,"m/d/yyyy")</f>
        <v>#VALUE!</v>
      </c>
      <c r="F69" t="str">
        <f t="shared" si="3"/>
        <v>MMM 2015</v>
      </c>
    </row>
    <row r="70" spans="1:8" ht="12.75" customHeight="1" x14ac:dyDescent="0.2">
      <c r="A70" s="4">
        <f>DATE(YEAR(Labels!B6)+(5),MONTH(Labels!B6)+(3),1)</f>
        <v>42095</v>
      </c>
      <c r="C70" s="4">
        <f>Labels!B6+(1916)</f>
        <v>42095</v>
      </c>
      <c r="D70" t="e">
        <f t="shared" si="2"/>
        <v>#VALUE!</v>
      </c>
      <c r="F70" t="str">
        <f t="shared" si="3"/>
        <v>MMM 2015</v>
      </c>
      <c r="G70" t="str">
        <f>"Q"&amp;(TRUNC((MONTH(A70)-1)/3)+1)&amp;" "&amp;YEAR(A70)</f>
        <v>Q2 2015</v>
      </c>
    </row>
    <row r="71" spans="1:8" ht="12.75" customHeight="1" x14ac:dyDescent="0.2">
      <c r="A71" s="4">
        <f>DATE(YEAR(Labels!B6)+(5),MONTH(Labels!B6)+(4),1)</f>
        <v>42125</v>
      </c>
      <c r="C71" s="4">
        <f>Labels!B6+(1946)</f>
        <v>42125</v>
      </c>
      <c r="D71" t="e">
        <f t="shared" ref="D71:D102" si="4">TEXT(C71,"m/d/yyyy")</f>
        <v>#VALUE!</v>
      </c>
      <c r="F71" t="str">
        <f t="shared" ref="F71:F102" si="5">TEXT(A71,"MMM yyyy")</f>
        <v>MMM 2015</v>
      </c>
    </row>
    <row r="72" spans="1:8" ht="12.75" customHeight="1" x14ac:dyDescent="0.2">
      <c r="A72" s="4">
        <f>DATE(YEAR(Labels!B6)+(5),MONTH(Labels!B6)+(5),1)</f>
        <v>42156</v>
      </c>
      <c r="C72" s="4">
        <f>Labels!B6+(1977)</f>
        <v>42156</v>
      </c>
      <c r="D72" t="e">
        <f t="shared" si="4"/>
        <v>#VALUE!</v>
      </c>
      <c r="F72" t="str">
        <f t="shared" si="5"/>
        <v>MMM 2015</v>
      </c>
    </row>
    <row r="73" spans="1:8" ht="12.75" customHeight="1" x14ac:dyDescent="0.2">
      <c r="A73" s="4">
        <f>DATE(YEAR(Labels!B6)+(5),MONTH(Labels!B6)+(6),1)</f>
        <v>42186</v>
      </c>
      <c r="C73" s="4">
        <f>Labels!B6+(2007)</f>
        <v>42186</v>
      </c>
      <c r="D73" t="e">
        <f t="shared" si="4"/>
        <v>#VALUE!</v>
      </c>
      <c r="F73" t="str">
        <f t="shared" si="5"/>
        <v>MMM 2015</v>
      </c>
      <c r="G73" t="str">
        <f>"Q"&amp;(TRUNC((MONTH(A73)-1)/3)+1)&amp;" "&amp;YEAR(A73)</f>
        <v>Q3 2015</v>
      </c>
    </row>
    <row r="74" spans="1:8" ht="12.75" customHeight="1" x14ac:dyDescent="0.2">
      <c r="A74" s="4">
        <f>DATE(YEAR(Labels!B6)+(5),MONTH(Labels!B6)+(7),1)</f>
        <v>42217</v>
      </c>
      <c r="C74" s="4">
        <f>Labels!B6+(2038)</f>
        <v>42217</v>
      </c>
      <c r="D74" t="e">
        <f t="shared" si="4"/>
        <v>#VALUE!</v>
      </c>
      <c r="F74" t="str">
        <f t="shared" si="5"/>
        <v>MMM 2015</v>
      </c>
    </row>
    <row r="75" spans="1:8" ht="12.75" customHeight="1" x14ac:dyDescent="0.2">
      <c r="A75" s="4">
        <f>DATE(YEAR(Labels!B6)+(5),MONTH(Labels!B6)+(8),1)</f>
        <v>42248</v>
      </c>
      <c r="C75" s="4">
        <f>Labels!B6+(2069)</f>
        <v>42248</v>
      </c>
      <c r="D75" t="e">
        <f t="shared" si="4"/>
        <v>#VALUE!</v>
      </c>
      <c r="F75" t="str">
        <f t="shared" si="5"/>
        <v>MMM 2015</v>
      </c>
    </row>
    <row r="76" spans="1:8" ht="12.75" customHeight="1" x14ac:dyDescent="0.2">
      <c r="A76" s="4">
        <f>DATE(YEAR(Labels!B6)+(5),MONTH(Labels!B6)+(9),1)</f>
        <v>42278</v>
      </c>
      <c r="C76" s="4">
        <f>Labels!B6+(2099)</f>
        <v>42278</v>
      </c>
      <c r="D76" t="e">
        <f t="shared" si="4"/>
        <v>#VALUE!</v>
      </c>
      <c r="F76" t="str">
        <f t="shared" si="5"/>
        <v>MMM 2015</v>
      </c>
      <c r="G76" t="str">
        <f>"Q"&amp;(TRUNC((MONTH(A76)-1)/3)+1)&amp;" "&amp;YEAR(A76)</f>
        <v>Q4 2015</v>
      </c>
    </row>
    <row r="77" spans="1:8" ht="12.75" customHeight="1" x14ac:dyDescent="0.2">
      <c r="A77" s="4">
        <f>DATE(YEAR(Labels!B6)+(5),MONTH(Labels!B6)+(10),1)</f>
        <v>42309</v>
      </c>
      <c r="B77" s="4">
        <f>A6+(2135)</f>
        <v>42309</v>
      </c>
      <c r="C77" s="4">
        <f>Labels!B6+(2130)</f>
        <v>42309</v>
      </c>
      <c r="D77" t="e">
        <f t="shared" si="4"/>
        <v>#VALUE!</v>
      </c>
      <c r="E77" t="e">
        <f>"W "&amp;TEXT(B77,"m/d/yyyy")</f>
        <v>#VALUE!</v>
      </c>
      <c r="F77" t="str">
        <f t="shared" si="5"/>
        <v>MMM 2015</v>
      </c>
    </row>
    <row r="78" spans="1:8" ht="12.75" customHeight="1" x14ac:dyDescent="0.2">
      <c r="A78" s="4">
        <f>DATE(YEAR(Labels!B6)+(5),MONTH(Labels!B6)+(11),1)</f>
        <v>42339</v>
      </c>
      <c r="C78" s="4">
        <f>Labels!B6+(2160)</f>
        <v>42339</v>
      </c>
      <c r="D78" t="e">
        <f t="shared" si="4"/>
        <v>#VALUE!</v>
      </c>
      <c r="F78" t="str">
        <f t="shared" si="5"/>
        <v>MMM 2015</v>
      </c>
    </row>
    <row r="79" spans="1:8" ht="12.75" customHeight="1" x14ac:dyDescent="0.2">
      <c r="A79" s="4">
        <f>DATE(YEAR(Labels!B6)+(6),MONTH(Labels!B6)+(0),1)</f>
        <v>42370</v>
      </c>
      <c r="C79" s="4">
        <f>Labels!B6+(2191)</f>
        <v>42370</v>
      </c>
      <c r="D79" t="e">
        <f t="shared" si="4"/>
        <v>#VALUE!</v>
      </c>
      <c r="F79" t="str">
        <f t="shared" si="5"/>
        <v>MMM 2016</v>
      </c>
      <c r="G79" t="str">
        <f>"Q"&amp;(TRUNC((MONTH(A79)-1)/3)+1)&amp;" "&amp;YEAR(A79)</f>
        <v>Q1 2016</v>
      </c>
      <c r="H79" t="str">
        <f>TEXT(YEAR(A79),"0000")</f>
        <v>2016</v>
      </c>
    </row>
    <row r="80" spans="1:8" ht="12.75" customHeight="1" x14ac:dyDescent="0.2">
      <c r="A80" s="4">
        <f>DATE(YEAR(Labels!B6)+(6),MONTH(Labels!B6)+(1),1)</f>
        <v>42401</v>
      </c>
      <c r="C80" s="4">
        <f>Labels!B6+(2222)</f>
        <v>42401</v>
      </c>
      <c r="D80" t="e">
        <f t="shared" si="4"/>
        <v>#VALUE!</v>
      </c>
      <c r="F80" t="str">
        <f t="shared" si="5"/>
        <v>MMM 2016</v>
      </c>
    </row>
    <row r="81" spans="1:8" ht="12.75" customHeight="1" x14ac:dyDescent="0.2">
      <c r="A81" s="4">
        <f>DATE(YEAR(Labels!B6)+(6),MONTH(Labels!B6)+(2),1)</f>
        <v>42430</v>
      </c>
      <c r="C81" s="4">
        <f>Labels!B6+(2251)</f>
        <v>42430</v>
      </c>
      <c r="D81" t="e">
        <f t="shared" si="4"/>
        <v>#VALUE!</v>
      </c>
      <c r="F81" t="str">
        <f t="shared" si="5"/>
        <v>MMM 2016</v>
      </c>
    </row>
    <row r="82" spans="1:8" ht="12.75" customHeight="1" x14ac:dyDescent="0.2">
      <c r="A82" s="4">
        <f>DATE(YEAR(Labels!B6)+(6),MONTH(Labels!B6)+(3),1)</f>
        <v>42461</v>
      </c>
      <c r="C82" s="4">
        <f>Labels!B6+(2282)</f>
        <v>42461</v>
      </c>
      <c r="D82" t="e">
        <f t="shared" si="4"/>
        <v>#VALUE!</v>
      </c>
      <c r="F82" t="str">
        <f t="shared" si="5"/>
        <v>MMM 2016</v>
      </c>
      <c r="G82" t="str">
        <f>"Q"&amp;(TRUNC((MONTH(A82)-1)/3)+1)&amp;" "&amp;YEAR(A82)</f>
        <v>Q2 2016</v>
      </c>
    </row>
    <row r="83" spans="1:8" ht="12.75" customHeight="1" x14ac:dyDescent="0.2">
      <c r="A83" s="4">
        <f>DATE(YEAR(Labels!B6)+(6),MONTH(Labels!B6)+(4),1)</f>
        <v>42491</v>
      </c>
      <c r="B83" s="4">
        <f>A6+(2317)</f>
        <v>42491</v>
      </c>
      <c r="C83" s="4">
        <f>Labels!B6+(2312)</f>
        <v>42491</v>
      </c>
      <c r="D83" t="e">
        <f t="shared" si="4"/>
        <v>#VALUE!</v>
      </c>
      <c r="E83" t="e">
        <f>"W "&amp;TEXT(B83,"m/d/yyyy")</f>
        <v>#VALUE!</v>
      </c>
      <c r="F83" t="str">
        <f t="shared" si="5"/>
        <v>MMM 2016</v>
      </c>
    </row>
    <row r="84" spans="1:8" ht="12.75" customHeight="1" x14ac:dyDescent="0.2">
      <c r="A84" s="4">
        <f>DATE(YEAR(Labels!B6)+(6),MONTH(Labels!B6)+(5),1)</f>
        <v>42522</v>
      </c>
      <c r="C84" s="4">
        <f>Labels!B6+(2343)</f>
        <v>42522</v>
      </c>
      <c r="D84" t="e">
        <f t="shared" si="4"/>
        <v>#VALUE!</v>
      </c>
      <c r="F84" t="str">
        <f t="shared" si="5"/>
        <v>MMM 2016</v>
      </c>
    </row>
    <row r="85" spans="1:8" ht="12.75" customHeight="1" x14ac:dyDescent="0.2">
      <c r="A85" s="4">
        <f>DATE(YEAR(Labels!B6)+(6),MONTH(Labels!B6)+(6),1)</f>
        <v>42552</v>
      </c>
      <c r="C85" s="4">
        <f>Labels!B6+(2373)</f>
        <v>42552</v>
      </c>
      <c r="D85" t="e">
        <f t="shared" si="4"/>
        <v>#VALUE!</v>
      </c>
      <c r="F85" t="str">
        <f t="shared" si="5"/>
        <v>MMM 2016</v>
      </c>
      <c r="G85" t="str">
        <f>"Q"&amp;(TRUNC((MONTH(A85)-1)/3)+1)&amp;" "&amp;YEAR(A85)</f>
        <v>Q3 2016</v>
      </c>
    </row>
    <row r="86" spans="1:8" ht="12.75" customHeight="1" x14ac:dyDescent="0.2">
      <c r="A86" s="4">
        <f>DATE(YEAR(Labels!B6)+(6),MONTH(Labels!B6)+(7),1)</f>
        <v>42583</v>
      </c>
      <c r="C86" s="4">
        <f>Labels!B6+(2404)</f>
        <v>42583</v>
      </c>
      <c r="D86" t="e">
        <f t="shared" si="4"/>
        <v>#VALUE!</v>
      </c>
      <c r="F86" t="str">
        <f t="shared" si="5"/>
        <v>MMM 2016</v>
      </c>
    </row>
    <row r="87" spans="1:8" ht="12.75" customHeight="1" x14ac:dyDescent="0.2">
      <c r="A87" s="4">
        <f>DATE(YEAR(Labels!B6)+(6),MONTH(Labels!B6)+(8),1)</f>
        <v>42614</v>
      </c>
      <c r="C87" s="4">
        <f>Labels!B6+(2435)</f>
        <v>42614</v>
      </c>
      <c r="D87" t="e">
        <f t="shared" si="4"/>
        <v>#VALUE!</v>
      </c>
      <c r="F87" t="str">
        <f t="shared" si="5"/>
        <v>MMM 2016</v>
      </c>
    </row>
    <row r="88" spans="1:8" ht="12.75" customHeight="1" x14ac:dyDescent="0.2">
      <c r="A88" s="4">
        <f>DATE(YEAR(Labels!B6)+(6),MONTH(Labels!B6)+(9),1)</f>
        <v>42644</v>
      </c>
      <c r="C88" s="4">
        <f>Labels!B6+(2465)</f>
        <v>42644</v>
      </c>
      <c r="D88" t="e">
        <f t="shared" si="4"/>
        <v>#VALUE!</v>
      </c>
      <c r="F88" t="str">
        <f t="shared" si="5"/>
        <v>MMM 2016</v>
      </c>
      <c r="G88" t="str">
        <f>"Q"&amp;(TRUNC((MONTH(A88)-1)/3)+1)&amp;" "&amp;YEAR(A88)</f>
        <v>Q4 2016</v>
      </c>
    </row>
    <row r="89" spans="1:8" ht="12.75" customHeight="1" x14ac:dyDescent="0.2">
      <c r="A89" s="4">
        <f>DATE(YEAR(Labels!B6)+(6),MONTH(Labels!B6)+(10),1)</f>
        <v>42675</v>
      </c>
      <c r="C89" s="4">
        <f>Labels!B6+(2496)</f>
        <v>42675</v>
      </c>
      <c r="D89" t="e">
        <f t="shared" si="4"/>
        <v>#VALUE!</v>
      </c>
      <c r="F89" t="str">
        <f t="shared" si="5"/>
        <v>MMM 2016</v>
      </c>
    </row>
    <row r="90" spans="1:8" ht="12.75" customHeight="1" x14ac:dyDescent="0.2">
      <c r="A90" s="4">
        <f>DATE(YEAR(Labels!B6)+(6),MONTH(Labels!B6)+(11),1)</f>
        <v>42705</v>
      </c>
      <c r="C90" s="4">
        <f>Labels!B6+(2526)</f>
        <v>42705</v>
      </c>
      <c r="D90" t="e">
        <f t="shared" si="4"/>
        <v>#VALUE!</v>
      </c>
      <c r="F90" t="str">
        <f t="shared" si="5"/>
        <v>MMM 2016</v>
      </c>
    </row>
    <row r="91" spans="1:8" ht="12.75" customHeight="1" x14ac:dyDescent="0.2">
      <c r="A91" s="4">
        <f>DATE(YEAR(Labels!B6)+(7),MONTH(Labels!B6)+(0),1)</f>
        <v>42736</v>
      </c>
      <c r="B91" s="4">
        <f>A6+(2562)</f>
        <v>42736</v>
      </c>
      <c r="C91" s="4">
        <f>Labels!B6+(2557)</f>
        <v>42736</v>
      </c>
      <c r="D91" t="e">
        <f t="shared" si="4"/>
        <v>#VALUE!</v>
      </c>
      <c r="E91" t="e">
        <f>"W "&amp;TEXT(B91,"m/d/yyyy")</f>
        <v>#VALUE!</v>
      </c>
      <c r="F91" t="str">
        <f t="shared" si="5"/>
        <v>MMM 2017</v>
      </c>
      <c r="G91" t="str">
        <f>"Q"&amp;(TRUNC((MONTH(A91)-1)/3)+1)&amp;" "&amp;YEAR(A91)</f>
        <v>Q1 2017</v>
      </c>
      <c r="H91" t="str">
        <f>TEXT(YEAR(A91),"0000")</f>
        <v>2017</v>
      </c>
    </row>
    <row r="92" spans="1:8" ht="12.75" customHeight="1" x14ac:dyDescent="0.2">
      <c r="A92" s="4">
        <f>DATE(YEAR(Labels!B6)+(7),MONTH(Labels!B6)+(1),1)</f>
        <v>42767</v>
      </c>
      <c r="C92" s="4">
        <f>Labels!B6+(2588)</f>
        <v>42767</v>
      </c>
      <c r="D92" t="e">
        <f t="shared" si="4"/>
        <v>#VALUE!</v>
      </c>
      <c r="F92" t="str">
        <f t="shared" si="5"/>
        <v>MMM 2017</v>
      </c>
    </row>
    <row r="93" spans="1:8" ht="12.75" customHeight="1" x14ac:dyDescent="0.2">
      <c r="A93" s="4">
        <f>DATE(YEAR(Labels!B6)+(7),MONTH(Labels!B6)+(2),1)</f>
        <v>42795</v>
      </c>
      <c r="C93" s="4">
        <f>Labels!B6+(2616)</f>
        <v>42795</v>
      </c>
      <c r="D93" t="e">
        <f t="shared" si="4"/>
        <v>#VALUE!</v>
      </c>
      <c r="F93" t="str">
        <f t="shared" si="5"/>
        <v>MMM 2017</v>
      </c>
    </row>
    <row r="94" spans="1:8" ht="12.75" customHeight="1" x14ac:dyDescent="0.2">
      <c r="A94" s="4">
        <f>DATE(YEAR(Labels!B6)+(7),MONTH(Labels!B6)+(3),1)</f>
        <v>42826</v>
      </c>
      <c r="C94" s="4">
        <f>Labels!B6+(2647)</f>
        <v>42826</v>
      </c>
      <c r="D94" t="e">
        <f t="shared" si="4"/>
        <v>#VALUE!</v>
      </c>
      <c r="F94" t="str">
        <f t="shared" si="5"/>
        <v>MMM 2017</v>
      </c>
      <c r="G94" t="str">
        <f>"Q"&amp;(TRUNC((MONTH(A94)-1)/3)+1)&amp;" "&amp;YEAR(A94)</f>
        <v>Q2 2017</v>
      </c>
    </row>
    <row r="95" spans="1:8" ht="12.75" customHeight="1" x14ac:dyDescent="0.2">
      <c r="A95" s="4">
        <f>DATE(YEAR(Labels!B6)+(7),MONTH(Labels!B6)+(4),1)</f>
        <v>42856</v>
      </c>
      <c r="C95" s="4">
        <f>Labels!B6+(2677)</f>
        <v>42856</v>
      </c>
      <c r="D95" t="e">
        <f t="shared" si="4"/>
        <v>#VALUE!</v>
      </c>
      <c r="F95" t="str">
        <f t="shared" si="5"/>
        <v>MMM 2017</v>
      </c>
    </row>
    <row r="96" spans="1:8" ht="12.75" customHeight="1" x14ac:dyDescent="0.2">
      <c r="A96" s="4">
        <f>DATE(YEAR(Labels!B6)+(7),MONTH(Labels!B6)+(5),1)</f>
        <v>42887</v>
      </c>
      <c r="C96" s="4">
        <f>Labels!B6+(2708)</f>
        <v>42887</v>
      </c>
      <c r="D96" t="e">
        <f t="shared" si="4"/>
        <v>#VALUE!</v>
      </c>
      <c r="F96" t="str">
        <f t="shared" si="5"/>
        <v>MMM 2017</v>
      </c>
    </row>
    <row r="97" spans="1:8" ht="12.75" customHeight="1" x14ac:dyDescent="0.2">
      <c r="A97" s="4">
        <f>DATE(YEAR(Labels!B6)+(7),MONTH(Labels!B6)+(6),1)</f>
        <v>42917</v>
      </c>
      <c r="C97" s="4">
        <f>Labels!B6+(2738)</f>
        <v>42917</v>
      </c>
      <c r="D97" t="e">
        <f t="shared" si="4"/>
        <v>#VALUE!</v>
      </c>
      <c r="F97" t="str">
        <f t="shared" si="5"/>
        <v>MMM 2017</v>
      </c>
      <c r="G97" t="str">
        <f>"Q"&amp;(TRUNC((MONTH(A97)-1)/3)+1)&amp;" "&amp;YEAR(A97)</f>
        <v>Q3 2017</v>
      </c>
    </row>
    <row r="98" spans="1:8" ht="12.75" customHeight="1" x14ac:dyDescent="0.2">
      <c r="A98" s="4">
        <f>DATE(YEAR(Labels!B6)+(7),MONTH(Labels!B6)+(7),1)</f>
        <v>42948</v>
      </c>
      <c r="C98" s="4">
        <f>Labels!B6+(2769)</f>
        <v>42948</v>
      </c>
      <c r="D98" t="e">
        <f t="shared" si="4"/>
        <v>#VALUE!</v>
      </c>
      <c r="F98" t="str">
        <f t="shared" si="5"/>
        <v>MMM 2017</v>
      </c>
    </row>
    <row r="99" spans="1:8" ht="12.75" customHeight="1" x14ac:dyDescent="0.2">
      <c r="A99" s="4">
        <f>DATE(YEAR(Labels!B6)+(7),MONTH(Labels!B6)+(8),1)</f>
        <v>42979</v>
      </c>
      <c r="C99" s="4">
        <f>Labels!B6+(2800)</f>
        <v>42979</v>
      </c>
      <c r="D99" t="e">
        <f t="shared" si="4"/>
        <v>#VALUE!</v>
      </c>
      <c r="F99" t="str">
        <f t="shared" si="5"/>
        <v>MMM 2017</v>
      </c>
    </row>
    <row r="100" spans="1:8" ht="12.75" customHeight="1" x14ac:dyDescent="0.2">
      <c r="A100" s="4">
        <f>DATE(YEAR(Labels!B6)+(7),MONTH(Labels!B6)+(9),1)</f>
        <v>43009</v>
      </c>
      <c r="B100" s="4">
        <f>A6+(2835)</f>
        <v>43009</v>
      </c>
      <c r="C100" s="4">
        <f>Labels!B6+(2830)</f>
        <v>43009</v>
      </c>
      <c r="D100" t="e">
        <f t="shared" si="4"/>
        <v>#VALUE!</v>
      </c>
      <c r="E100" t="e">
        <f>"W "&amp;TEXT(B100,"m/d/yyyy")</f>
        <v>#VALUE!</v>
      </c>
      <c r="F100" t="str">
        <f t="shared" si="5"/>
        <v>MMM 2017</v>
      </c>
      <c r="G100" t="str">
        <f>"Q"&amp;(TRUNC((MONTH(A100)-1)/3)+1)&amp;" "&amp;YEAR(A100)</f>
        <v>Q4 2017</v>
      </c>
    </row>
    <row r="101" spans="1:8" ht="12.75" customHeight="1" x14ac:dyDescent="0.2">
      <c r="A101" s="4">
        <f>DATE(YEAR(Labels!B6)+(7),MONTH(Labels!B6)+(10),1)</f>
        <v>43040</v>
      </c>
      <c r="C101" s="4">
        <f>Labels!B6+(2861)</f>
        <v>43040</v>
      </c>
      <c r="D101" t="e">
        <f t="shared" si="4"/>
        <v>#VALUE!</v>
      </c>
      <c r="F101" t="str">
        <f t="shared" si="5"/>
        <v>MMM 2017</v>
      </c>
    </row>
    <row r="102" spans="1:8" ht="12.75" customHeight="1" x14ac:dyDescent="0.2">
      <c r="A102" s="4">
        <f>DATE(YEAR(Labels!B6)+(7),MONTH(Labels!B6)+(11),1)</f>
        <v>43070</v>
      </c>
      <c r="C102" s="4">
        <f>Labels!B6+(2891)</f>
        <v>43070</v>
      </c>
      <c r="D102" t="e">
        <f t="shared" si="4"/>
        <v>#VALUE!</v>
      </c>
      <c r="F102" t="str">
        <f t="shared" si="5"/>
        <v>MMM 2017</v>
      </c>
    </row>
    <row r="103" spans="1:8" ht="12.75" customHeight="1" x14ac:dyDescent="0.2">
      <c r="A103" s="4">
        <f>DATE(YEAR(Labels!B6)+(8),MONTH(Labels!B6)+(0),1)</f>
        <v>43101</v>
      </c>
      <c r="C103" s="4">
        <f>Labels!B6+(2922)</f>
        <v>43101</v>
      </c>
      <c r="D103" t="e">
        <f t="shared" ref="D103:D134" si="6">TEXT(C103,"m/d/yyyy")</f>
        <v>#VALUE!</v>
      </c>
      <c r="F103" t="str">
        <f t="shared" ref="F103:F138" si="7">TEXT(A103,"MMM yyyy")</f>
        <v>MMM 2018</v>
      </c>
      <c r="G103" t="str">
        <f>"Q"&amp;(TRUNC((MONTH(A103)-1)/3)+1)&amp;" "&amp;YEAR(A103)</f>
        <v>Q1 2018</v>
      </c>
      <c r="H103" t="str">
        <f>TEXT(YEAR(A103),"0000")</f>
        <v>2018</v>
      </c>
    </row>
    <row r="104" spans="1:8" ht="12.75" customHeight="1" x14ac:dyDescent="0.2">
      <c r="A104" s="4">
        <f>DATE(YEAR(Labels!B6)+(8),MONTH(Labels!B6)+(1),1)</f>
        <v>43132</v>
      </c>
      <c r="C104" s="4">
        <f>Labels!B6+(2953)</f>
        <v>43132</v>
      </c>
      <c r="D104" t="e">
        <f t="shared" si="6"/>
        <v>#VALUE!</v>
      </c>
      <c r="F104" t="str">
        <f t="shared" si="7"/>
        <v>MMM 2018</v>
      </c>
    </row>
    <row r="105" spans="1:8" ht="12.75" customHeight="1" x14ac:dyDescent="0.2">
      <c r="A105" s="4">
        <f>DATE(YEAR(Labels!B6)+(8),MONTH(Labels!B6)+(2),1)</f>
        <v>43160</v>
      </c>
      <c r="C105" s="4">
        <f>Labels!B6+(2981)</f>
        <v>43160</v>
      </c>
      <c r="D105" t="e">
        <f t="shared" si="6"/>
        <v>#VALUE!</v>
      </c>
      <c r="F105" t="str">
        <f t="shared" si="7"/>
        <v>MMM 2018</v>
      </c>
    </row>
    <row r="106" spans="1:8" ht="12.75" customHeight="1" x14ac:dyDescent="0.2">
      <c r="A106" s="4">
        <f>DATE(YEAR(Labels!B6)+(8),MONTH(Labels!B6)+(3),1)</f>
        <v>43191</v>
      </c>
      <c r="B106" s="4">
        <f>A6+(3017)</f>
        <v>43191</v>
      </c>
      <c r="C106" s="4">
        <f>Labels!B6+(3012)</f>
        <v>43191</v>
      </c>
      <c r="D106" t="e">
        <f t="shared" si="6"/>
        <v>#VALUE!</v>
      </c>
      <c r="E106" t="e">
        <f>"W "&amp;TEXT(B106,"m/d/yyyy")</f>
        <v>#VALUE!</v>
      </c>
      <c r="F106" t="str">
        <f t="shared" si="7"/>
        <v>MMM 2018</v>
      </c>
      <c r="G106" t="str">
        <f>"Q"&amp;(TRUNC((MONTH(A106)-1)/3)+1)&amp;" "&amp;YEAR(A106)</f>
        <v>Q2 2018</v>
      </c>
    </row>
    <row r="107" spans="1:8" ht="12.75" customHeight="1" x14ac:dyDescent="0.2">
      <c r="A107" s="4">
        <f>DATE(YEAR(Labels!B6)+(8),MONTH(Labels!B6)+(4),1)</f>
        <v>43221</v>
      </c>
      <c r="C107" s="4">
        <f>Labels!B6+(3042)</f>
        <v>43221</v>
      </c>
      <c r="D107" t="e">
        <f t="shared" si="6"/>
        <v>#VALUE!</v>
      </c>
      <c r="F107" t="str">
        <f t="shared" si="7"/>
        <v>MMM 2018</v>
      </c>
    </row>
    <row r="108" spans="1:8" ht="12.75" customHeight="1" x14ac:dyDescent="0.2">
      <c r="A108" s="4">
        <f>DATE(YEAR(Labels!B6)+(8),MONTH(Labels!B6)+(5),1)</f>
        <v>43252</v>
      </c>
      <c r="C108" s="4">
        <f>Labels!B6+(3073)</f>
        <v>43252</v>
      </c>
      <c r="D108" t="e">
        <f t="shared" si="6"/>
        <v>#VALUE!</v>
      </c>
      <c r="F108" t="str">
        <f t="shared" si="7"/>
        <v>MMM 2018</v>
      </c>
    </row>
    <row r="109" spans="1:8" ht="12.75" customHeight="1" x14ac:dyDescent="0.2">
      <c r="A109" s="4">
        <f>DATE(YEAR(Labels!B6)+(8),MONTH(Labels!B6)+(6),1)</f>
        <v>43282</v>
      </c>
      <c r="B109" s="4">
        <f>A6+(3108)</f>
        <v>43282</v>
      </c>
      <c r="C109" s="4">
        <f>Labels!B6+(3103)</f>
        <v>43282</v>
      </c>
      <c r="D109" t="e">
        <f t="shared" si="6"/>
        <v>#VALUE!</v>
      </c>
      <c r="E109" t="e">
        <f>"W "&amp;TEXT(B109,"m/d/yyyy")</f>
        <v>#VALUE!</v>
      </c>
      <c r="F109" t="str">
        <f t="shared" si="7"/>
        <v>MMM 2018</v>
      </c>
      <c r="G109" t="str">
        <f>"Q"&amp;(TRUNC((MONTH(A109)-1)/3)+1)&amp;" "&amp;YEAR(A109)</f>
        <v>Q3 2018</v>
      </c>
    </row>
    <row r="110" spans="1:8" ht="12.75" customHeight="1" x14ac:dyDescent="0.2">
      <c r="A110" s="4">
        <f>DATE(YEAR(Labels!B6)+(8),MONTH(Labels!B6)+(7),1)</f>
        <v>43313</v>
      </c>
      <c r="C110" s="4">
        <f>Labels!B6+(3134)</f>
        <v>43313</v>
      </c>
      <c r="D110" t="e">
        <f t="shared" si="6"/>
        <v>#VALUE!</v>
      </c>
      <c r="F110" t="str">
        <f t="shared" si="7"/>
        <v>MMM 2018</v>
      </c>
    </row>
    <row r="111" spans="1:8" ht="12.75" customHeight="1" x14ac:dyDescent="0.2">
      <c r="A111" s="4">
        <f>DATE(YEAR(Labels!B6)+(8),MONTH(Labels!B6)+(8),1)</f>
        <v>43344</v>
      </c>
      <c r="C111" s="4">
        <f>Labels!B6+(3165)</f>
        <v>43344</v>
      </c>
      <c r="D111" t="e">
        <f t="shared" si="6"/>
        <v>#VALUE!</v>
      </c>
      <c r="F111" t="str">
        <f t="shared" si="7"/>
        <v>MMM 2018</v>
      </c>
    </row>
    <row r="112" spans="1:8" ht="12.75" customHeight="1" x14ac:dyDescent="0.2">
      <c r="A112" s="4">
        <f>DATE(YEAR(Labels!B6)+(8),MONTH(Labels!B6)+(9),1)</f>
        <v>43374</v>
      </c>
      <c r="C112" s="4">
        <f>Labels!B6+(3195)</f>
        <v>43374</v>
      </c>
      <c r="D112" t="e">
        <f t="shared" si="6"/>
        <v>#VALUE!</v>
      </c>
      <c r="F112" t="str">
        <f t="shared" si="7"/>
        <v>MMM 2018</v>
      </c>
      <c r="G112" t="str">
        <f>"Q"&amp;(TRUNC((MONTH(A112)-1)/3)+1)&amp;" "&amp;YEAR(A112)</f>
        <v>Q4 2018</v>
      </c>
    </row>
    <row r="113" spans="1:8" ht="12.75" customHeight="1" x14ac:dyDescent="0.2">
      <c r="A113" s="4">
        <f>DATE(YEAR(Labels!B6)+(8),MONTH(Labels!B6)+(10),1)</f>
        <v>43405</v>
      </c>
      <c r="C113" s="4">
        <f>Labels!B6+(3226)</f>
        <v>43405</v>
      </c>
      <c r="D113" t="e">
        <f t="shared" si="6"/>
        <v>#VALUE!</v>
      </c>
      <c r="F113" t="str">
        <f t="shared" si="7"/>
        <v>MMM 2018</v>
      </c>
    </row>
    <row r="114" spans="1:8" ht="12.75" customHeight="1" x14ac:dyDescent="0.2">
      <c r="A114" s="4">
        <f>DATE(YEAR(Labels!B6)+(8),MONTH(Labels!B6)+(11),1)</f>
        <v>43435</v>
      </c>
      <c r="C114" s="4">
        <f>Labels!B6+(3256)</f>
        <v>43435</v>
      </c>
      <c r="D114" t="e">
        <f t="shared" si="6"/>
        <v>#VALUE!</v>
      </c>
      <c r="F114" t="str">
        <f t="shared" si="7"/>
        <v>MMM 2018</v>
      </c>
    </row>
    <row r="115" spans="1:8" ht="12.75" customHeight="1" x14ac:dyDescent="0.2">
      <c r="A115" s="4">
        <f>DATE(YEAR(Labels!B6)+(9),MONTH(Labels!B6)+(0),1)</f>
        <v>43466</v>
      </c>
      <c r="C115" s="4">
        <f>Labels!B6+(3287)</f>
        <v>43466</v>
      </c>
      <c r="D115" t="e">
        <f t="shared" si="6"/>
        <v>#VALUE!</v>
      </c>
      <c r="F115" t="str">
        <f t="shared" si="7"/>
        <v>MMM 2019</v>
      </c>
      <c r="G115" t="str">
        <f>"Q"&amp;(TRUNC((MONTH(A115)-1)/3)+1)&amp;" "&amp;YEAR(A115)</f>
        <v>Q1 2019</v>
      </c>
      <c r="H115" t="str">
        <f>TEXT(YEAR(A115),"0000")</f>
        <v>2019</v>
      </c>
    </row>
    <row r="116" spans="1:8" ht="12.75" customHeight="1" x14ac:dyDescent="0.2">
      <c r="A116" s="4">
        <f>DATE(YEAR(Labels!B6)+(9),MONTH(Labels!B6)+(1),1)</f>
        <v>43497</v>
      </c>
      <c r="C116" s="4">
        <f>Labels!B6+(3318)</f>
        <v>43497</v>
      </c>
      <c r="D116" t="e">
        <f t="shared" si="6"/>
        <v>#VALUE!</v>
      </c>
      <c r="F116" t="str">
        <f t="shared" si="7"/>
        <v>MMM 2019</v>
      </c>
    </row>
    <row r="117" spans="1:8" ht="12.75" customHeight="1" x14ac:dyDescent="0.2">
      <c r="A117" s="4">
        <f>DATE(YEAR(Labels!B6)+(9),MONTH(Labels!B6)+(2),1)</f>
        <v>43525</v>
      </c>
      <c r="C117" s="4">
        <f>Labels!B6+(3346)</f>
        <v>43525</v>
      </c>
      <c r="D117" t="e">
        <f t="shared" si="6"/>
        <v>#VALUE!</v>
      </c>
      <c r="F117" t="str">
        <f t="shared" si="7"/>
        <v>MMM 2019</v>
      </c>
    </row>
    <row r="118" spans="1:8" ht="12.75" customHeight="1" x14ac:dyDescent="0.2">
      <c r="A118" s="4">
        <f>DATE(YEAR(Labels!B6)+(9),MONTH(Labels!B6)+(3),1)</f>
        <v>43556</v>
      </c>
      <c r="C118" s="4">
        <f>Labels!B6+(3377)</f>
        <v>43556</v>
      </c>
      <c r="D118" t="e">
        <f t="shared" si="6"/>
        <v>#VALUE!</v>
      </c>
      <c r="F118" t="str">
        <f t="shared" si="7"/>
        <v>MMM 2019</v>
      </c>
      <c r="G118" t="str">
        <f>"Q"&amp;(TRUNC((MONTH(A118)-1)/3)+1)&amp;" "&amp;YEAR(A118)</f>
        <v>Q2 2019</v>
      </c>
    </row>
    <row r="119" spans="1:8" ht="12.75" customHeight="1" x14ac:dyDescent="0.2">
      <c r="A119" s="4">
        <f>DATE(YEAR(Labels!B6)+(9),MONTH(Labels!B6)+(4),1)</f>
        <v>43586</v>
      </c>
      <c r="C119" s="4">
        <f>Labels!B6+(3407)</f>
        <v>43586</v>
      </c>
      <c r="D119" t="e">
        <f t="shared" si="6"/>
        <v>#VALUE!</v>
      </c>
      <c r="F119" t="str">
        <f t="shared" si="7"/>
        <v>MMM 2019</v>
      </c>
    </row>
    <row r="120" spans="1:8" ht="12.75" customHeight="1" x14ac:dyDescent="0.2">
      <c r="A120" s="4">
        <f>DATE(YEAR(Labels!B6)+(9),MONTH(Labels!B6)+(5),1)</f>
        <v>43617</v>
      </c>
      <c r="C120" s="4">
        <f>Labels!B6+(3438)</f>
        <v>43617</v>
      </c>
      <c r="D120" t="e">
        <f t="shared" si="6"/>
        <v>#VALUE!</v>
      </c>
      <c r="F120" t="str">
        <f t="shared" si="7"/>
        <v>MMM 2019</v>
      </c>
    </row>
    <row r="121" spans="1:8" ht="12.75" customHeight="1" x14ac:dyDescent="0.2">
      <c r="A121" s="4">
        <f>DATE(YEAR(Labels!B6)+(9),MONTH(Labels!B6)+(6),1)</f>
        <v>43647</v>
      </c>
      <c r="C121" s="4">
        <f>Labels!B6+(3468)</f>
        <v>43647</v>
      </c>
      <c r="D121" t="e">
        <f t="shared" si="6"/>
        <v>#VALUE!</v>
      </c>
      <c r="F121" t="str">
        <f t="shared" si="7"/>
        <v>MMM 2019</v>
      </c>
      <c r="G121" t="str">
        <f>"Q"&amp;(TRUNC((MONTH(A121)-1)/3)+1)&amp;" "&amp;YEAR(A121)</f>
        <v>Q3 2019</v>
      </c>
    </row>
    <row r="122" spans="1:8" ht="12.75" customHeight="1" x14ac:dyDescent="0.2">
      <c r="A122" s="4">
        <f>DATE(YEAR(Labels!B6)+(9),MONTH(Labels!B6)+(7),1)</f>
        <v>43678</v>
      </c>
      <c r="C122" s="4">
        <f>Labels!B6+(3499)</f>
        <v>43678</v>
      </c>
      <c r="D122" t="e">
        <f t="shared" si="6"/>
        <v>#VALUE!</v>
      </c>
      <c r="F122" t="str">
        <f t="shared" si="7"/>
        <v>MMM 2019</v>
      </c>
    </row>
    <row r="123" spans="1:8" ht="12.75" customHeight="1" x14ac:dyDescent="0.2">
      <c r="A123" s="4">
        <f>DATE(YEAR(Labels!B6)+(9),MONTH(Labels!B6)+(8),1)</f>
        <v>43709</v>
      </c>
      <c r="B123" s="4">
        <f>A6+(3535)</f>
        <v>43709</v>
      </c>
      <c r="C123" s="4">
        <f>Labels!B6+(3530)</f>
        <v>43709</v>
      </c>
      <c r="D123" t="e">
        <f t="shared" si="6"/>
        <v>#VALUE!</v>
      </c>
      <c r="E123" t="e">
        <f>"W "&amp;TEXT(B123,"m/d/yyyy")</f>
        <v>#VALUE!</v>
      </c>
      <c r="F123" t="str">
        <f t="shared" si="7"/>
        <v>MMM 2019</v>
      </c>
    </row>
    <row r="124" spans="1:8" ht="12.75" customHeight="1" x14ac:dyDescent="0.2">
      <c r="A124" s="4">
        <f>DATE(YEAR(Labels!B6)+(9),MONTH(Labels!B6)+(9),1)</f>
        <v>43739</v>
      </c>
      <c r="C124" s="4">
        <f>Labels!B6+(3560)</f>
        <v>43739</v>
      </c>
      <c r="D124" t="e">
        <f t="shared" si="6"/>
        <v>#VALUE!</v>
      </c>
      <c r="F124" t="str">
        <f t="shared" si="7"/>
        <v>MMM 2019</v>
      </c>
      <c r="G124" t="str">
        <f>"Q"&amp;(TRUNC((MONTH(A124)-1)/3)+1)&amp;" "&amp;YEAR(A124)</f>
        <v>Q4 2019</v>
      </c>
    </row>
    <row r="125" spans="1:8" ht="12.75" customHeight="1" x14ac:dyDescent="0.2">
      <c r="A125" s="4">
        <f>DATE(YEAR(Labels!B6)+(9),MONTH(Labels!B6)+(10),1)</f>
        <v>43770</v>
      </c>
      <c r="C125" s="4">
        <f>Labels!B6+(3591)</f>
        <v>43770</v>
      </c>
      <c r="D125" t="e">
        <f t="shared" si="6"/>
        <v>#VALUE!</v>
      </c>
      <c r="F125" t="str">
        <f t="shared" si="7"/>
        <v>MMM 2019</v>
      </c>
    </row>
    <row r="126" spans="1:8" ht="12.75" customHeight="1" x14ac:dyDescent="0.2">
      <c r="A126" s="4">
        <f>DATE(YEAR(Labels!B6)+(9),MONTH(Labels!B6)+(11),1)</f>
        <v>43800</v>
      </c>
      <c r="B126" s="4">
        <f>A6+(3626)</f>
        <v>43800</v>
      </c>
      <c r="C126" s="4">
        <f>Labels!B6+(3621)</f>
        <v>43800</v>
      </c>
      <c r="D126" t="e">
        <f t="shared" si="6"/>
        <v>#VALUE!</v>
      </c>
      <c r="E126" t="e">
        <f>"W "&amp;TEXT(B126,"m/d/yyyy")</f>
        <v>#VALUE!</v>
      </c>
      <c r="F126" t="str">
        <f t="shared" si="7"/>
        <v>MMM 2019</v>
      </c>
    </row>
    <row r="127" spans="1:8" ht="12.75" customHeight="1" x14ac:dyDescent="0.2">
      <c r="A127" s="4">
        <f>DATE(YEAR(Labels!B6)+(10),MONTH(Labels!B6)+(0),1)</f>
        <v>43831</v>
      </c>
      <c r="C127" s="4">
        <f>Labels!B6+(3652)</f>
        <v>43831</v>
      </c>
      <c r="D127" t="e">
        <f t="shared" si="6"/>
        <v>#VALUE!</v>
      </c>
      <c r="F127" t="str">
        <f t="shared" si="7"/>
        <v>MMM 2020</v>
      </c>
      <c r="G127" t="str">
        <f>"Q"&amp;(TRUNC((MONTH(A127)-1)/3)+1)&amp;" "&amp;YEAR(A127)</f>
        <v>Q1 2020</v>
      </c>
      <c r="H127" t="str">
        <f>TEXT(YEAR(A127),"0000")</f>
        <v>2020</v>
      </c>
    </row>
    <row r="128" spans="1:8" ht="12.75" customHeight="1" x14ac:dyDescent="0.2">
      <c r="A128" s="4">
        <f>DATE(YEAR(Labels!B6)+(10),MONTH(Labels!B6)+(1),1)</f>
        <v>43862</v>
      </c>
      <c r="C128" s="4">
        <f>Labels!B6+(3683)</f>
        <v>43862</v>
      </c>
      <c r="D128" t="e">
        <f t="shared" si="6"/>
        <v>#VALUE!</v>
      </c>
      <c r="F128" t="str">
        <f t="shared" si="7"/>
        <v>MMM 2020</v>
      </c>
    </row>
    <row r="129" spans="1:7" ht="12.75" customHeight="1" x14ac:dyDescent="0.2">
      <c r="A129" s="4">
        <f>DATE(YEAR(Labels!B6)+(10),MONTH(Labels!B6)+(2),1)</f>
        <v>43891</v>
      </c>
      <c r="B129" s="4">
        <f>A6+(3717)</f>
        <v>43891</v>
      </c>
      <c r="C129" s="4">
        <f>Labels!B6+(3712)</f>
        <v>43891</v>
      </c>
      <c r="D129" t="e">
        <f t="shared" si="6"/>
        <v>#VALUE!</v>
      </c>
      <c r="E129" t="e">
        <f>"W "&amp;TEXT(B129,"m/d/yyyy")</f>
        <v>#VALUE!</v>
      </c>
      <c r="F129" t="str">
        <f t="shared" si="7"/>
        <v>MMM 2020</v>
      </c>
    </row>
    <row r="130" spans="1:7" ht="12.75" customHeight="1" x14ac:dyDescent="0.2">
      <c r="A130" s="4">
        <f>DATE(YEAR(Labels!B6)+(10),MONTH(Labels!B6)+(3),1)</f>
        <v>43922</v>
      </c>
      <c r="C130" s="4">
        <f>Labels!B6+(3743)</f>
        <v>43922</v>
      </c>
      <c r="D130" t="e">
        <f t="shared" si="6"/>
        <v>#VALUE!</v>
      </c>
      <c r="F130" t="str">
        <f t="shared" si="7"/>
        <v>MMM 2020</v>
      </c>
      <c r="G130" t="str">
        <f>"Q"&amp;(TRUNC((MONTH(A130)-1)/3)+1)&amp;" "&amp;YEAR(A130)</f>
        <v>Q2 2020</v>
      </c>
    </row>
    <row r="131" spans="1:7" ht="12.75" customHeight="1" x14ac:dyDescent="0.2">
      <c r="A131" s="4">
        <f>DATE(YEAR(Labels!B6)+(10),MONTH(Labels!B6)+(4),1)</f>
        <v>43952</v>
      </c>
      <c r="C131" s="4">
        <f>Labels!B6+(3773)</f>
        <v>43952</v>
      </c>
      <c r="D131" t="e">
        <f t="shared" si="6"/>
        <v>#VALUE!</v>
      </c>
      <c r="F131" t="str">
        <f t="shared" si="7"/>
        <v>MMM 2020</v>
      </c>
    </row>
    <row r="132" spans="1:7" ht="12.75" customHeight="1" x14ac:dyDescent="0.2">
      <c r="A132" s="4">
        <f>DATE(YEAR(Labels!B6)+(10),MONTH(Labels!B6)+(5),1)</f>
        <v>43983</v>
      </c>
      <c r="C132" s="4">
        <f>Labels!B6+(3804)</f>
        <v>43983</v>
      </c>
      <c r="D132" t="e">
        <f t="shared" si="6"/>
        <v>#VALUE!</v>
      </c>
      <c r="F132" t="str">
        <f t="shared" si="7"/>
        <v>MMM 2020</v>
      </c>
    </row>
    <row r="133" spans="1:7" ht="12.75" customHeight="1" x14ac:dyDescent="0.2">
      <c r="A133" s="4">
        <f>DATE(YEAR(Labels!B6)+(10),MONTH(Labels!B6)+(6),1)</f>
        <v>44013</v>
      </c>
      <c r="C133" s="4">
        <f>Labels!B6+(3834)</f>
        <v>44013</v>
      </c>
      <c r="D133" t="e">
        <f t="shared" si="6"/>
        <v>#VALUE!</v>
      </c>
      <c r="F133" t="str">
        <f t="shared" si="7"/>
        <v>MMM 2020</v>
      </c>
      <c r="G133" t="str">
        <f>"Q"&amp;(TRUNC((MONTH(A133)-1)/3)+1)&amp;" "&amp;YEAR(A133)</f>
        <v>Q3 2020</v>
      </c>
    </row>
    <row r="134" spans="1:7" ht="12.75" customHeight="1" x14ac:dyDescent="0.2">
      <c r="A134" s="4">
        <f>DATE(YEAR(Labels!B6)+(10),MONTH(Labels!B6)+(7),1)</f>
        <v>44044</v>
      </c>
      <c r="C134" s="4">
        <f>Labels!B6+(3865)</f>
        <v>44044</v>
      </c>
      <c r="D134" t="e">
        <f t="shared" si="6"/>
        <v>#VALUE!</v>
      </c>
      <c r="F134" t="str">
        <f t="shared" si="7"/>
        <v>MMM 2020</v>
      </c>
    </row>
    <row r="135" spans="1:7" ht="12.75" customHeight="1" x14ac:dyDescent="0.2">
      <c r="A135" s="4">
        <f>DATE(YEAR(Labels!B6)+(10),MONTH(Labels!B6)+(8),1)</f>
        <v>44075</v>
      </c>
      <c r="C135" s="4">
        <f>Labels!B6+(3896)</f>
        <v>44075</v>
      </c>
      <c r="D135" t="e">
        <f>TEXT(C135,"m/d/yyyy")</f>
        <v>#VALUE!</v>
      </c>
      <c r="F135" t="str">
        <f t="shared" si="7"/>
        <v>MMM 2020</v>
      </c>
    </row>
    <row r="136" spans="1:7" ht="12.75" customHeight="1" x14ac:dyDescent="0.2">
      <c r="A136" s="4">
        <f>DATE(YEAR(Labels!B6)+(10),MONTH(Labels!B6)+(9),1)</f>
        <v>44105</v>
      </c>
      <c r="C136" s="4">
        <f>Labels!B6+(3926)</f>
        <v>44105</v>
      </c>
      <c r="D136" t="e">
        <f>TEXT(C136,"m/d/yyyy")</f>
        <v>#VALUE!</v>
      </c>
      <c r="F136" t="str">
        <f t="shared" si="7"/>
        <v>MMM 2020</v>
      </c>
      <c r="G136" t="str">
        <f>"Q"&amp;(TRUNC((MONTH(A136)-1)/3)+1)&amp;" "&amp;YEAR(A136)</f>
        <v>Q4 2020</v>
      </c>
    </row>
    <row r="137" spans="1:7" ht="12.75" customHeight="1" x14ac:dyDescent="0.2">
      <c r="A137" s="4">
        <f>DATE(YEAR(Labels!B6)+(10),MONTH(Labels!B6)+(10),1)</f>
        <v>44136</v>
      </c>
      <c r="B137" s="4">
        <f>A6+(3962)</f>
        <v>44136</v>
      </c>
      <c r="C137" s="4">
        <f>Labels!B6+(3957)</f>
        <v>44136</v>
      </c>
      <c r="D137" t="e">
        <f>TEXT(C137,"m/d/yyyy")</f>
        <v>#VALUE!</v>
      </c>
      <c r="E137" t="e">
        <f>"W "&amp;TEXT(B137,"m/d/yyyy")</f>
        <v>#VALUE!</v>
      </c>
      <c r="F137" t="str">
        <f t="shared" si="7"/>
        <v>MMM 2020</v>
      </c>
    </row>
    <row r="138" spans="1:7" ht="12.75" customHeight="1" x14ac:dyDescent="0.2">
      <c r="A138" s="4">
        <f>DATE(YEAR(Labels!B6)+(10),MONTH(Labels!B6)+(11),1)</f>
        <v>44166</v>
      </c>
      <c r="C138" s="4">
        <f>Labels!B6+(3987)</f>
        <v>44166</v>
      </c>
      <c r="D138" t="e">
        <f>TEXT(C138,"m/d/yyyy")</f>
        <v>#VALUE!</v>
      </c>
      <c r="F138" t="str">
        <f t="shared" si="7"/>
        <v>MMM 2020</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79"/>
  <sheetViews>
    <sheetView workbookViewId="0"/>
  </sheetViews>
  <sheetFormatPr defaultRowHeight="12.75" customHeight="1" x14ac:dyDescent="0.2"/>
  <sheetData>
    <row r="1" spans="1:132" ht="12.75" customHeight="1" x14ac:dyDescent="0.2">
      <c r="A1" s="57">
        <f ca="1">Demand!B7</f>
        <v>1164194.6093627189</v>
      </c>
      <c r="B1" s="57">
        <f ca="1">Demand!C7</f>
        <v>1135446.6301679909</v>
      </c>
      <c r="C1" s="57">
        <f ca="1">Demand!D7</f>
        <v>1214554.7919434898</v>
      </c>
      <c r="D1" s="57">
        <f ca="1">Demand!E7</f>
        <v>1223487.7003406808</v>
      </c>
      <c r="E1" s="57">
        <f ca="1">Demand!F7</f>
        <v>1113027.4638293157</v>
      </c>
      <c r="F1" s="57">
        <f ca="1">Demand!G7</f>
        <v>1173169.3144578894</v>
      </c>
      <c r="G1" s="57">
        <f ca="1">Demand!H7</f>
        <v>1157034.8915199924</v>
      </c>
      <c r="H1" s="57">
        <f ca="1">Demand!I7</f>
        <v>1175444.2627819807</v>
      </c>
      <c r="I1" s="57">
        <f ca="1">Demand!J7</f>
        <v>1190233.8972580405</v>
      </c>
      <c r="J1" s="57">
        <f ca="1">Demand!K7</f>
        <v>1172214.7904521443</v>
      </c>
      <c r="K1" s="57">
        <f ca="1">Demand!L7</f>
        <v>1181515.8113526006</v>
      </c>
      <c r="L1" s="57">
        <f ca="1">Demand!M7</f>
        <v>1184015.9827790014</v>
      </c>
      <c r="M1" s="57">
        <f ca="1">Demand!O7</f>
        <v>1149696.7973344955</v>
      </c>
      <c r="N1" s="57">
        <f ca="1">Demand!P7</f>
        <v>1215984.753945597</v>
      </c>
      <c r="O1" s="57">
        <f ca="1">Demand!Q7</f>
        <v>1128503.596931061</v>
      </c>
      <c r="P1" s="57">
        <f ca="1">Demand!R7</f>
        <v>1198880.1400139483</v>
      </c>
      <c r="Q1" s="57">
        <f ca="1">Demand!S7</f>
        <v>1218255.8491281816</v>
      </c>
      <c r="R1" s="57">
        <f ca="1">Demand!T7</f>
        <v>1226548.2369190571</v>
      </c>
      <c r="S1" s="57">
        <f ca="1">Demand!U7</f>
        <v>1106292.1680222922</v>
      </c>
      <c r="T1" s="57">
        <f ca="1">Demand!V7</f>
        <v>1172752.2384466191</v>
      </c>
      <c r="U1" s="57">
        <f ca="1">Demand!W7</f>
        <v>1208910.7179122134</v>
      </c>
      <c r="V1" s="57">
        <f ca="1">Demand!X7</f>
        <v>1113692.4094866507</v>
      </c>
      <c r="W1" s="57">
        <f ca="1">Demand!Y7</f>
        <v>1185913.6864196435</v>
      </c>
      <c r="X1" s="57">
        <f ca="1">Demand!Z7</f>
        <v>1166619.4046556444</v>
      </c>
      <c r="Y1" s="57">
        <f ca="1">Demand!AB7</f>
        <v>1197530.7659338592</v>
      </c>
      <c r="Z1" s="57">
        <f ca="1">Demand!AC7</f>
        <v>1204944.9360879213</v>
      </c>
      <c r="AA1" s="57">
        <f ca="1">Demand!AD7</f>
        <v>1185958.1017626247</v>
      </c>
      <c r="AB1" s="57">
        <f ca="1">Demand!AE7</f>
        <v>1209828.6760905217</v>
      </c>
      <c r="AC1" s="57">
        <f ca="1">Demand!AF7</f>
        <v>1209876.2248047583</v>
      </c>
      <c r="AD1" s="57">
        <f ca="1">Demand!AG7</f>
        <v>1162174.4854315633</v>
      </c>
      <c r="AE1" s="57">
        <f ca="1">Demand!AH7</f>
        <v>1150232.1753781897</v>
      </c>
      <c r="AF1" s="57">
        <f ca="1">Demand!AI7</f>
        <v>1148167.163364216</v>
      </c>
      <c r="AG1" s="57">
        <f ca="1">Demand!AJ7</f>
        <v>1201850.0054386791</v>
      </c>
      <c r="AH1" s="57">
        <f ca="1">Demand!AK7</f>
        <v>1133459.5376616486</v>
      </c>
      <c r="AI1" s="57">
        <f ca="1">Demand!AL7</f>
        <v>1168894.6207152782</v>
      </c>
      <c r="AJ1" s="57">
        <f ca="1">Demand!AM7</f>
        <v>1154326.2995966934</v>
      </c>
      <c r="AK1" s="57">
        <f ca="1">Demand!AO7</f>
        <v>1162403.599162431</v>
      </c>
      <c r="AL1" s="57">
        <f ca="1">Demand!AP7</f>
        <v>1168925.2757912083</v>
      </c>
      <c r="AM1" s="57">
        <f ca="1">Demand!AQ7</f>
        <v>1129578.787956614</v>
      </c>
      <c r="AN1" s="57">
        <f ca="1">Demand!AR7</f>
        <v>1181213.4474358158</v>
      </c>
      <c r="AO1" s="57">
        <f ca="1">Demand!AS7</f>
        <v>1158613.5169092421</v>
      </c>
      <c r="AP1" s="57">
        <f ca="1">Demand!AT7</f>
        <v>1185109.8047856644</v>
      </c>
      <c r="AQ1" s="57">
        <f ca="1">Demand!AU7</f>
        <v>1189923.0994887273</v>
      </c>
      <c r="AR1" s="57">
        <f ca="1">Demand!AV7</f>
        <v>1175242.2259775393</v>
      </c>
      <c r="AS1" s="57">
        <f ca="1">Demand!AW7</f>
        <v>1219461.6531161636</v>
      </c>
      <c r="AT1" s="57">
        <f ca="1">Demand!AX7</f>
        <v>1137936.9661714355</v>
      </c>
      <c r="AU1" s="57">
        <f ca="1">Demand!AY7</f>
        <v>1132058.161028753</v>
      </c>
      <c r="AV1" s="57">
        <f ca="1">Demand!AZ7</f>
        <v>1216194.0254576534</v>
      </c>
      <c r="AW1" s="57">
        <f ca="1">Demand!BB7</f>
        <v>1220249.8791710564</v>
      </c>
      <c r="AX1" s="57">
        <f ca="1">Demand!BC7</f>
        <v>1139788.091947814</v>
      </c>
      <c r="AY1" s="57">
        <f ca="1">Demand!BD7</f>
        <v>1140476.0606792141</v>
      </c>
      <c r="AZ1" s="57">
        <f ca="1">Demand!BE7</f>
        <v>1179952.4908625502</v>
      </c>
      <c r="BA1" s="57">
        <f ca="1">Demand!BF7</f>
        <v>1128409.198797636</v>
      </c>
      <c r="BB1" s="57">
        <f ca="1">Demand!BG7</f>
        <v>1146570.3394741281</v>
      </c>
      <c r="BC1" s="57">
        <f ca="1">Demand!BH7</f>
        <v>1164436.876481218</v>
      </c>
      <c r="BD1" s="57">
        <f ca="1">Demand!BI7</f>
        <v>1148371.4524730961</v>
      </c>
      <c r="BE1" s="57">
        <f ca="1">Demand!BJ7</f>
        <v>1216640.8898219047</v>
      </c>
      <c r="BF1" s="57">
        <f ca="1">Demand!BK7</f>
        <v>1138784.8629630518</v>
      </c>
      <c r="BG1" s="57">
        <f ca="1">Demand!BL7</f>
        <v>1213930.4085995792</v>
      </c>
      <c r="BH1" s="57">
        <f ca="1">Demand!BM7</f>
        <v>1118354.5412439101</v>
      </c>
      <c r="BI1" s="57">
        <f ca="1">Demand!BO7</f>
        <v>1201173.5978802014</v>
      </c>
      <c r="BJ1" s="57">
        <f ca="1">Demand!BP7</f>
        <v>1217142.0863003843</v>
      </c>
      <c r="BK1" s="57">
        <f ca="1">Demand!BQ7</f>
        <v>1161090.7728496732</v>
      </c>
      <c r="BL1" s="57">
        <f ca="1">Demand!BR7</f>
        <v>1138913.4657687242</v>
      </c>
      <c r="BM1" s="57">
        <f ca="1">Demand!BS7</f>
        <v>1228997.9281346481</v>
      </c>
      <c r="BN1" s="57">
        <f ca="1">Demand!BT7</f>
        <v>1137977.6116326309</v>
      </c>
      <c r="BO1" s="57">
        <f ca="1">Demand!BU7</f>
        <v>1204271.5055284079</v>
      </c>
      <c r="BP1" s="57">
        <f ca="1">Demand!BV7</f>
        <v>1188234.1052356851</v>
      </c>
      <c r="BQ1" s="57">
        <f ca="1">Demand!BW7</f>
        <v>1213148.7528817495</v>
      </c>
      <c r="BR1" s="57">
        <f ca="1">Demand!BX7</f>
        <v>1159269.0809929755</v>
      </c>
      <c r="BS1" s="57">
        <f ca="1">Demand!BY7</f>
        <v>1129139.7024209136</v>
      </c>
      <c r="BT1" s="57">
        <f ca="1">Demand!BZ7</f>
        <v>1174924.8072838048</v>
      </c>
      <c r="BU1" s="57">
        <f ca="1">Demand!CB7</f>
        <v>1153954.6377977023</v>
      </c>
      <c r="BV1" s="57">
        <f ca="1">Demand!CC7</f>
        <v>1152171.3466472989</v>
      </c>
      <c r="BW1" s="57">
        <f ca="1">Demand!CD7</f>
        <v>1153829.5294732377</v>
      </c>
      <c r="BX1" s="57">
        <f ca="1">Demand!CE7</f>
        <v>1160212.4957748288</v>
      </c>
      <c r="BY1" s="57">
        <f ca="1">Demand!CF7</f>
        <v>1193748.8729487087</v>
      </c>
      <c r="BZ1" s="57">
        <f ca="1">Demand!CG7</f>
        <v>1148556.6741591352</v>
      </c>
      <c r="CA1" s="57">
        <f ca="1">Demand!CH7</f>
        <v>1137782.7331064034</v>
      </c>
      <c r="CB1" s="57">
        <f ca="1">Demand!CI7</f>
        <v>1135047.0539237044</v>
      </c>
      <c r="CC1" s="57">
        <f ca="1">Demand!CJ7</f>
        <v>1164395.9387508905</v>
      </c>
      <c r="CD1" s="57">
        <f ca="1">Demand!CK7</f>
        <v>1132184.770534893</v>
      </c>
      <c r="CE1" s="57">
        <f ca="1">Demand!CL7</f>
        <v>1195611.4627215394</v>
      </c>
      <c r="CF1" s="57">
        <f ca="1">Demand!CM7</f>
        <v>1182476.9280384798</v>
      </c>
      <c r="CG1" s="57">
        <f ca="1">Demand!CO7</f>
        <v>1125260.4382584188</v>
      </c>
      <c r="CH1" s="57">
        <f ca="1">Demand!CP7</f>
        <v>1120379.6326846497</v>
      </c>
      <c r="CI1" s="57">
        <f ca="1">Demand!CQ7</f>
        <v>1140158.119829207</v>
      </c>
      <c r="CJ1" s="57">
        <f ca="1">Demand!CR7</f>
        <v>1152074.5999986643</v>
      </c>
      <c r="CK1" s="57">
        <f ca="1">Demand!CS7</f>
        <v>1147938.113283816</v>
      </c>
      <c r="CL1" s="57">
        <f ca="1">Demand!CT7</f>
        <v>1164542.0685719023</v>
      </c>
      <c r="CM1" s="57">
        <f ca="1">Demand!CU7</f>
        <v>1196092.4175527373</v>
      </c>
      <c r="CN1" s="57">
        <f ca="1">Demand!CV7</f>
        <v>1184309.4342379533</v>
      </c>
      <c r="CO1" s="57">
        <f ca="1">Demand!CW7</f>
        <v>1189214.9439645107</v>
      </c>
      <c r="CP1" s="57">
        <f ca="1">Demand!CX7</f>
        <v>1151410.5029924619</v>
      </c>
      <c r="CQ1" s="57">
        <f ca="1">Demand!CY7</f>
        <v>1168061.6173619579</v>
      </c>
      <c r="CR1" s="57">
        <f ca="1">Demand!CZ7</f>
        <v>1202614.1276766157</v>
      </c>
      <c r="CS1" s="57">
        <f ca="1">Demand!DB7</f>
        <v>1181695.6733336442</v>
      </c>
      <c r="CT1" s="57">
        <f ca="1">Demand!DC7</f>
        <v>1180136.1618927552</v>
      </c>
      <c r="CU1" s="57">
        <f ca="1">Demand!DD7</f>
        <v>1117381.7198221006</v>
      </c>
      <c r="CV1" s="57">
        <f ca="1">Demand!DE7</f>
        <v>1122428.9751182664</v>
      </c>
      <c r="CW1" s="57">
        <f ca="1">Demand!DF7</f>
        <v>1153570.3312372712</v>
      </c>
      <c r="CX1" s="57">
        <f ca="1">Demand!DG7</f>
        <v>1176439.3033229995</v>
      </c>
      <c r="CY1" s="57">
        <f ca="1">Demand!DH7</f>
        <v>1135677.5191489209</v>
      </c>
      <c r="CZ1" s="57">
        <f ca="1">Demand!DI7</f>
        <v>1136995.9773489239</v>
      </c>
      <c r="DA1" s="57">
        <f ca="1">Demand!DJ7</f>
        <v>1175700.4664828915</v>
      </c>
      <c r="DB1" s="57">
        <f ca="1">Demand!DK7</f>
        <v>1172873.9514284963</v>
      </c>
      <c r="DC1" s="57">
        <f ca="1">Demand!DL7</f>
        <v>1191805.1532780607</v>
      </c>
      <c r="DD1" s="57">
        <f ca="1">Demand!DM7</f>
        <v>1106207.5630885356</v>
      </c>
      <c r="DE1" s="57">
        <f ca="1">Demand!DO7</f>
        <v>1181861.5752388816</v>
      </c>
      <c r="DF1" s="57">
        <f ca="1">Demand!DP7</f>
        <v>1146714.9531896207</v>
      </c>
      <c r="DG1" s="57">
        <f ca="1">Demand!DQ7</f>
        <v>1131796.2451573233</v>
      </c>
      <c r="DH1" s="57">
        <f ca="1">Demand!DR7</f>
        <v>1193152.3416071103</v>
      </c>
      <c r="DI1" s="57">
        <f ca="1">Demand!DS7</f>
        <v>1163774.3114894719</v>
      </c>
      <c r="DJ1" s="57">
        <f ca="1">Demand!DT7</f>
        <v>1125610.974005762</v>
      </c>
      <c r="DK1" s="57">
        <f ca="1">Demand!DU7</f>
        <v>1208971.789994576</v>
      </c>
      <c r="DL1" s="57">
        <f ca="1">Demand!DV7</f>
        <v>1184351.9635053542</v>
      </c>
      <c r="DM1" s="57">
        <f ca="1">Demand!DW7</f>
        <v>1123131.8371518275</v>
      </c>
      <c r="DN1" s="57">
        <f ca="1">Demand!DX7</f>
        <v>1180714.4862408633</v>
      </c>
      <c r="DO1" s="57">
        <f ca="1">Demand!DY7</f>
        <v>1172435.4616925668</v>
      </c>
      <c r="DP1" s="57">
        <f ca="1">Demand!DZ7</f>
        <v>1201792.5413978202</v>
      </c>
      <c r="DQ1" s="57">
        <f ca="1">Demand!EB7</f>
        <v>1121212.2261942057</v>
      </c>
      <c r="DR1" s="57">
        <f ca="1">Demand!EC7</f>
        <v>1125304.264992154</v>
      </c>
      <c r="DS1" s="57">
        <f ca="1">Demand!ED7</f>
        <v>1179486.1730803319</v>
      </c>
      <c r="DT1" s="57">
        <f ca="1">Demand!EE7</f>
        <v>1128815.1066272862</v>
      </c>
      <c r="DU1" s="57">
        <f ca="1">Demand!EF7</f>
        <v>1210018.1112197521</v>
      </c>
      <c r="DV1" s="57">
        <f ca="1">Demand!EG7</f>
        <v>1150922.2852360299</v>
      </c>
      <c r="DW1" s="57">
        <f ca="1">Demand!EH7</f>
        <v>1110017.1273417654</v>
      </c>
      <c r="DX1" s="57">
        <f ca="1">Demand!EI7</f>
        <v>1177706.9494086958</v>
      </c>
      <c r="DY1" s="57">
        <f ca="1">Demand!EJ7</f>
        <v>1111599.7811253117</v>
      </c>
      <c r="DZ1" s="57">
        <f ca="1">Demand!EK7</f>
        <v>1201240.4172521355</v>
      </c>
      <c r="EA1" s="57">
        <f ca="1">Demand!EL7</f>
        <v>1153677.8432979297</v>
      </c>
      <c r="EB1" s="57">
        <f ca="1">Demand!EM7</f>
        <v>1128012.7502532718</v>
      </c>
    </row>
    <row r="2" spans="1:132" ht="12.75" customHeight="1" x14ac:dyDescent="0.2">
      <c r="A2" s="4" t="str">
        <f>'(Intermediate Computations)'!B11</f>
        <v>MMM 2010</v>
      </c>
      <c r="B2" s="4" t="str">
        <f>'(Intermediate Computations)'!C11</f>
        <v>MMM 2010</v>
      </c>
      <c r="C2" s="4" t="str">
        <f>'(Intermediate Computations)'!D11</f>
        <v>MMM 2010</v>
      </c>
      <c r="D2" s="4" t="str">
        <f>'(Intermediate Computations)'!E11</f>
        <v>MMM 2010</v>
      </c>
      <c r="E2" s="4" t="str">
        <f>'(Intermediate Computations)'!F11</f>
        <v>MMM 2010</v>
      </c>
      <c r="F2" s="4" t="str">
        <f>'(Intermediate Computations)'!G11</f>
        <v>MMM 2010</v>
      </c>
      <c r="G2" s="4" t="str">
        <f>'(Intermediate Computations)'!H11</f>
        <v>MMM 2010</v>
      </c>
      <c r="H2" s="4" t="str">
        <f>'(Intermediate Computations)'!I11</f>
        <v>MMM 2010</v>
      </c>
      <c r="I2" s="4" t="str">
        <f>'(Intermediate Computations)'!J11</f>
        <v>MMM 2010</v>
      </c>
      <c r="J2" s="4" t="str">
        <f>'(Intermediate Computations)'!K11</f>
        <v>MMM 2010</v>
      </c>
      <c r="K2" s="4" t="str">
        <f>'(Intermediate Computations)'!L11</f>
        <v>MMM 2010</v>
      </c>
      <c r="L2" s="4" t="str">
        <f>'(Intermediate Computations)'!M11</f>
        <v>MMM 2010</v>
      </c>
      <c r="M2" s="4" t="str">
        <f>'(Intermediate Computations)'!O11</f>
        <v>MMM 2011</v>
      </c>
      <c r="N2" s="4" t="str">
        <f>'(Intermediate Computations)'!P11</f>
        <v>MMM 2011</v>
      </c>
      <c r="O2" s="4" t="str">
        <f>'(Intermediate Computations)'!Q11</f>
        <v>MMM 2011</v>
      </c>
      <c r="P2" s="4" t="str">
        <f>'(Intermediate Computations)'!R11</f>
        <v>MMM 2011</v>
      </c>
      <c r="Q2" s="4" t="str">
        <f>'(Intermediate Computations)'!S11</f>
        <v>MMM 2011</v>
      </c>
      <c r="R2" s="4" t="str">
        <f>'(Intermediate Computations)'!T11</f>
        <v>MMM 2011</v>
      </c>
      <c r="S2" s="4" t="str">
        <f>'(Intermediate Computations)'!U11</f>
        <v>MMM 2011</v>
      </c>
      <c r="T2" s="4" t="str">
        <f>'(Intermediate Computations)'!V11</f>
        <v>MMM 2011</v>
      </c>
      <c r="U2" s="4" t="str">
        <f>'(Intermediate Computations)'!W11</f>
        <v>MMM 2011</v>
      </c>
      <c r="V2" s="4" t="str">
        <f>'(Intermediate Computations)'!X11</f>
        <v>MMM 2011</v>
      </c>
      <c r="W2" s="4" t="str">
        <f>'(Intermediate Computations)'!Y11</f>
        <v>MMM 2011</v>
      </c>
      <c r="X2" s="4" t="str">
        <f>'(Intermediate Computations)'!Z11</f>
        <v>MMM 2011</v>
      </c>
      <c r="Y2" s="4" t="str">
        <f>'(Intermediate Computations)'!AB11</f>
        <v>MMM 2012</v>
      </c>
      <c r="Z2" s="4" t="str">
        <f>'(Intermediate Computations)'!AC11</f>
        <v>MMM 2012</v>
      </c>
      <c r="AA2" s="4" t="str">
        <f>'(Intermediate Computations)'!AD11</f>
        <v>MMM 2012</v>
      </c>
      <c r="AB2" s="4" t="str">
        <f>'(Intermediate Computations)'!AE11</f>
        <v>MMM 2012</v>
      </c>
      <c r="AC2" s="4" t="str">
        <f>'(Intermediate Computations)'!AF11</f>
        <v>MMM 2012</v>
      </c>
      <c r="AD2" s="4" t="str">
        <f>'(Intermediate Computations)'!AG11</f>
        <v>MMM 2012</v>
      </c>
      <c r="AE2" s="4" t="str">
        <f>'(Intermediate Computations)'!AH11</f>
        <v>MMM 2012</v>
      </c>
      <c r="AF2" s="4" t="str">
        <f>'(Intermediate Computations)'!AI11</f>
        <v>MMM 2012</v>
      </c>
      <c r="AG2" s="4" t="str">
        <f>'(Intermediate Computations)'!AJ11</f>
        <v>MMM 2012</v>
      </c>
      <c r="AH2" s="4" t="str">
        <f>'(Intermediate Computations)'!AK11</f>
        <v>MMM 2012</v>
      </c>
      <c r="AI2" s="4" t="str">
        <f>'(Intermediate Computations)'!AL11</f>
        <v>MMM 2012</v>
      </c>
      <c r="AJ2" s="4" t="str">
        <f>'(Intermediate Computations)'!AM11</f>
        <v>MMM 2012</v>
      </c>
      <c r="AK2" s="4" t="str">
        <f>'(Intermediate Computations)'!AO11</f>
        <v>MMM 2013</v>
      </c>
      <c r="AL2" s="4" t="str">
        <f>'(Intermediate Computations)'!AP11</f>
        <v>MMM 2013</v>
      </c>
      <c r="AM2" s="4" t="str">
        <f>'(Intermediate Computations)'!AQ11</f>
        <v>MMM 2013</v>
      </c>
      <c r="AN2" s="4" t="str">
        <f>'(Intermediate Computations)'!AR11</f>
        <v>MMM 2013</v>
      </c>
      <c r="AO2" s="4" t="str">
        <f>'(Intermediate Computations)'!AS11</f>
        <v>MMM 2013</v>
      </c>
      <c r="AP2" s="4" t="str">
        <f>'(Intermediate Computations)'!AT11</f>
        <v>MMM 2013</v>
      </c>
      <c r="AQ2" s="4" t="str">
        <f>'(Intermediate Computations)'!AU11</f>
        <v>MMM 2013</v>
      </c>
      <c r="AR2" s="4" t="str">
        <f>'(Intermediate Computations)'!AV11</f>
        <v>MMM 2013</v>
      </c>
      <c r="AS2" s="4" t="str">
        <f>'(Intermediate Computations)'!AW11</f>
        <v>MMM 2013</v>
      </c>
      <c r="AT2" s="4" t="str">
        <f>'(Intermediate Computations)'!AX11</f>
        <v>MMM 2013</v>
      </c>
      <c r="AU2" s="4" t="str">
        <f>'(Intermediate Computations)'!AY11</f>
        <v>MMM 2013</v>
      </c>
      <c r="AV2" s="4" t="str">
        <f>'(Intermediate Computations)'!AZ11</f>
        <v>MMM 2013</v>
      </c>
      <c r="AW2" s="4" t="str">
        <f>'(Intermediate Computations)'!BB11</f>
        <v>MMM 2014</v>
      </c>
      <c r="AX2" s="4" t="str">
        <f>'(Intermediate Computations)'!BC11</f>
        <v>MMM 2014</v>
      </c>
      <c r="AY2" s="4" t="str">
        <f>'(Intermediate Computations)'!BD11</f>
        <v>MMM 2014</v>
      </c>
      <c r="AZ2" s="4" t="str">
        <f>'(Intermediate Computations)'!BE11</f>
        <v>MMM 2014</v>
      </c>
      <c r="BA2" s="4" t="str">
        <f>'(Intermediate Computations)'!BF11</f>
        <v>MMM 2014</v>
      </c>
      <c r="BB2" s="4" t="str">
        <f>'(Intermediate Computations)'!BG11</f>
        <v>MMM 2014</v>
      </c>
      <c r="BC2" s="4" t="str">
        <f>'(Intermediate Computations)'!BH11</f>
        <v>MMM 2014</v>
      </c>
      <c r="BD2" s="4" t="str">
        <f>'(Intermediate Computations)'!BI11</f>
        <v>MMM 2014</v>
      </c>
      <c r="BE2" s="4" t="str">
        <f>'(Intermediate Computations)'!BJ11</f>
        <v>MMM 2014</v>
      </c>
      <c r="BF2" s="4" t="str">
        <f>'(Intermediate Computations)'!BK11</f>
        <v>MMM 2014</v>
      </c>
      <c r="BG2" s="4" t="str">
        <f>'(Intermediate Computations)'!BL11</f>
        <v>MMM 2014</v>
      </c>
      <c r="BH2" s="4" t="str">
        <f>'(Intermediate Computations)'!BM11</f>
        <v>MMM 2014</v>
      </c>
      <c r="BI2" s="4" t="str">
        <f>'(Intermediate Computations)'!BO11</f>
        <v>MMM 2015</v>
      </c>
      <c r="BJ2" s="4" t="str">
        <f>'(Intermediate Computations)'!BP11</f>
        <v>MMM 2015</v>
      </c>
      <c r="BK2" s="4" t="str">
        <f>'(Intermediate Computations)'!BQ11</f>
        <v>MMM 2015</v>
      </c>
      <c r="BL2" s="4" t="str">
        <f>'(Intermediate Computations)'!BR11</f>
        <v>MMM 2015</v>
      </c>
      <c r="BM2" s="4" t="str">
        <f>'(Intermediate Computations)'!BS11</f>
        <v>MMM 2015</v>
      </c>
      <c r="BN2" s="4" t="str">
        <f>'(Intermediate Computations)'!BT11</f>
        <v>MMM 2015</v>
      </c>
      <c r="BO2" s="4" t="str">
        <f>'(Intermediate Computations)'!BU11</f>
        <v>MMM 2015</v>
      </c>
      <c r="BP2" s="4" t="str">
        <f>'(Intermediate Computations)'!BV11</f>
        <v>MMM 2015</v>
      </c>
      <c r="BQ2" s="4" t="str">
        <f>'(Intermediate Computations)'!BW11</f>
        <v>MMM 2015</v>
      </c>
      <c r="BR2" s="4" t="str">
        <f>'(Intermediate Computations)'!BX11</f>
        <v>MMM 2015</v>
      </c>
      <c r="BS2" s="4" t="str">
        <f>'(Intermediate Computations)'!BY11</f>
        <v>MMM 2015</v>
      </c>
      <c r="BT2" s="4" t="str">
        <f>'(Intermediate Computations)'!BZ11</f>
        <v>MMM 2015</v>
      </c>
      <c r="BU2" s="4" t="str">
        <f>'(Intermediate Computations)'!CB11</f>
        <v>MMM 2016</v>
      </c>
      <c r="BV2" s="4" t="str">
        <f>'(Intermediate Computations)'!CC11</f>
        <v>MMM 2016</v>
      </c>
      <c r="BW2" s="4" t="str">
        <f>'(Intermediate Computations)'!CD11</f>
        <v>MMM 2016</v>
      </c>
      <c r="BX2" s="4" t="str">
        <f>'(Intermediate Computations)'!CE11</f>
        <v>MMM 2016</v>
      </c>
      <c r="BY2" s="4" t="str">
        <f>'(Intermediate Computations)'!CF11</f>
        <v>MMM 2016</v>
      </c>
      <c r="BZ2" s="4" t="str">
        <f>'(Intermediate Computations)'!CG11</f>
        <v>MMM 2016</v>
      </c>
      <c r="CA2" s="4" t="str">
        <f>'(Intermediate Computations)'!CH11</f>
        <v>MMM 2016</v>
      </c>
      <c r="CB2" s="4" t="str">
        <f>'(Intermediate Computations)'!CI11</f>
        <v>MMM 2016</v>
      </c>
      <c r="CC2" s="4" t="str">
        <f>'(Intermediate Computations)'!CJ11</f>
        <v>MMM 2016</v>
      </c>
      <c r="CD2" s="4" t="str">
        <f>'(Intermediate Computations)'!CK11</f>
        <v>MMM 2016</v>
      </c>
      <c r="CE2" s="4" t="str">
        <f>'(Intermediate Computations)'!CL11</f>
        <v>MMM 2016</v>
      </c>
      <c r="CF2" s="4" t="str">
        <f>'(Intermediate Computations)'!CM11</f>
        <v>MMM 2016</v>
      </c>
      <c r="CG2" s="4" t="str">
        <f>'(Intermediate Computations)'!CO11</f>
        <v>MMM 2017</v>
      </c>
      <c r="CH2" s="4" t="str">
        <f>'(Intermediate Computations)'!CP11</f>
        <v>MMM 2017</v>
      </c>
      <c r="CI2" s="4" t="str">
        <f>'(Intermediate Computations)'!CQ11</f>
        <v>MMM 2017</v>
      </c>
      <c r="CJ2" s="4" t="str">
        <f>'(Intermediate Computations)'!CR11</f>
        <v>MMM 2017</v>
      </c>
      <c r="CK2" s="4" t="str">
        <f>'(Intermediate Computations)'!CS11</f>
        <v>MMM 2017</v>
      </c>
      <c r="CL2" s="4" t="str">
        <f>'(Intermediate Computations)'!CT11</f>
        <v>MMM 2017</v>
      </c>
      <c r="CM2" s="4" t="str">
        <f>'(Intermediate Computations)'!CU11</f>
        <v>MMM 2017</v>
      </c>
      <c r="CN2" s="4" t="str">
        <f>'(Intermediate Computations)'!CV11</f>
        <v>MMM 2017</v>
      </c>
      <c r="CO2" s="4" t="str">
        <f>'(Intermediate Computations)'!CW11</f>
        <v>MMM 2017</v>
      </c>
      <c r="CP2" s="4" t="str">
        <f>'(Intermediate Computations)'!CX11</f>
        <v>MMM 2017</v>
      </c>
      <c r="CQ2" s="4" t="str">
        <f>'(Intermediate Computations)'!CY11</f>
        <v>MMM 2017</v>
      </c>
      <c r="CR2" s="4" t="str">
        <f>'(Intermediate Computations)'!CZ11</f>
        <v>MMM 2017</v>
      </c>
      <c r="CS2" s="4" t="str">
        <f>'(Intermediate Computations)'!DB11</f>
        <v>MMM 2018</v>
      </c>
      <c r="CT2" s="4" t="str">
        <f>'(Intermediate Computations)'!DC11</f>
        <v>MMM 2018</v>
      </c>
      <c r="CU2" s="4" t="str">
        <f>'(Intermediate Computations)'!DD11</f>
        <v>MMM 2018</v>
      </c>
      <c r="CV2" s="4" t="str">
        <f>'(Intermediate Computations)'!DE11</f>
        <v>MMM 2018</v>
      </c>
      <c r="CW2" s="4" t="str">
        <f>'(Intermediate Computations)'!DF11</f>
        <v>MMM 2018</v>
      </c>
      <c r="CX2" s="4" t="str">
        <f>'(Intermediate Computations)'!DG11</f>
        <v>MMM 2018</v>
      </c>
      <c r="CY2" s="4" t="str">
        <f>'(Intermediate Computations)'!DH11</f>
        <v>MMM 2018</v>
      </c>
      <c r="CZ2" s="4" t="str">
        <f>'(Intermediate Computations)'!DI11</f>
        <v>MMM 2018</v>
      </c>
      <c r="DA2" s="4" t="str">
        <f>'(Intermediate Computations)'!DJ11</f>
        <v>MMM 2018</v>
      </c>
      <c r="DB2" s="4" t="str">
        <f>'(Intermediate Computations)'!DK11</f>
        <v>MMM 2018</v>
      </c>
      <c r="DC2" s="4" t="str">
        <f>'(Intermediate Computations)'!DL11</f>
        <v>MMM 2018</v>
      </c>
      <c r="DD2" s="4" t="str">
        <f>'(Intermediate Computations)'!DM11</f>
        <v>MMM 2018</v>
      </c>
      <c r="DE2" s="4" t="str">
        <f>'(Intermediate Computations)'!DO11</f>
        <v>MMM 2019</v>
      </c>
      <c r="DF2" s="4" t="str">
        <f>'(Intermediate Computations)'!DP11</f>
        <v>MMM 2019</v>
      </c>
      <c r="DG2" s="4" t="str">
        <f>'(Intermediate Computations)'!DQ11</f>
        <v>MMM 2019</v>
      </c>
      <c r="DH2" s="4" t="str">
        <f>'(Intermediate Computations)'!DR11</f>
        <v>MMM 2019</v>
      </c>
      <c r="DI2" s="4" t="str">
        <f>'(Intermediate Computations)'!DS11</f>
        <v>MMM 2019</v>
      </c>
      <c r="DJ2" s="4" t="str">
        <f>'(Intermediate Computations)'!DT11</f>
        <v>MMM 2019</v>
      </c>
      <c r="DK2" s="4" t="str">
        <f>'(Intermediate Computations)'!DU11</f>
        <v>MMM 2019</v>
      </c>
      <c r="DL2" s="4" t="str">
        <f>'(Intermediate Computations)'!DV11</f>
        <v>MMM 2019</v>
      </c>
      <c r="DM2" s="4" t="str">
        <f>'(Intermediate Computations)'!DW11</f>
        <v>MMM 2019</v>
      </c>
      <c r="DN2" s="4" t="str">
        <f>'(Intermediate Computations)'!DX11</f>
        <v>MMM 2019</v>
      </c>
      <c r="DO2" s="4" t="str">
        <f>'(Intermediate Computations)'!DY11</f>
        <v>MMM 2019</v>
      </c>
      <c r="DP2" s="4" t="str">
        <f>'(Intermediate Computations)'!DZ11</f>
        <v>MMM 2019</v>
      </c>
      <c r="DQ2" s="4" t="str">
        <f>'(Intermediate Computations)'!EB11</f>
        <v>MMM 2020</v>
      </c>
      <c r="DR2" s="4" t="str">
        <f>'(Intermediate Computations)'!EC11</f>
        <v>MMM 2020</v>
      </c>
      <c r="DS2" s="4" t="str">
        <f>'(Intermediate Computations)'!ED11</f>
        <v>MMM 2020</v>
      </c>
      <c r="DT2" s="4" t="str">
        <f>'(Intermediate Computations)'!EE11</f>
        <v>MMM 2020</v>
      </c>
      <c r="DU2" s="4" t="str">
        <f>'(Intermediate Computations)'!EF11</f>
        <v>MMM 2020</v>
      </c>
      <c r="DV2" s="4" t="str">
        <f>'(Intermediate Computations)'!EG11</f>
        <v>MMM 2020</v>
      </c>
      <c r="DW2" s="4" t="str">
        <f>'(Intermediate Computations)'!EH11</f>
        <v>MMM 2020</v>
      </c>
      <c r="DX2" s="4" t="str">
        <f>'(Intermediate Computations)'!EI11</f>
        <v>MMM 2020</v>
      </c>
      <c r="DY2" s="4" t="str">
        <f>'(Intermediate Computations)'!EJ11</f>
        <v>MMM 2020</v>
      </c>
      <c r="DZ2" s="4" t="str">
        <f>'(Intermediate Computations)'!EK11</f>
        <v>MMM 2020</v>
      </c>
      <c r="EA2" s="4" t="str">
        <f>'(Intermediate Computations)'!EL11</f>
        <v>MMM 2020</v>
      </c>
      <c r="EB2" s="4" t="str">
        <f>'(Intermediate Computations)'!EM11</f>
        <v>MMM 2020</v>
      </c>
    </row>
    <row r="3" spans="1:132" ht="12.75" customHeight="1" x14ac:dyDescent="0.2">
      <c r="A3" s="4">
        <f>'(Intermediate Computations)'!B8</f>
        <v>40179</v>
      </c>
      <c r="B3" s="4">
        <f>'(Intermediate Computations)'!C8</f>
        <v>40210</v>
      </c>
      <c r="C3" s="4">
        <f>'(Intermediate Computations)'!D8</f>
        <v>40238</v>
      </c>
      <c r="D3" s="4">
        <f>'(Intermediate Computations)'!E8</f>
        <v>40269</v>
      </c>
      <c r="E3" s="4">
        <f>'(Intermediate Computations)'!F8</f>
        <v>40299</v>
      </c>
      <c r="F3" s="4">
        <f>'(Intermediate Computations)'!G8</f>
        <v>40330</v>
      </c>
      <c r="G3" s="4">
        <f>'(Intermediate Computations)'!H8</f>
        <v>40360</v>
      </c>
      <c r="H3" s="4">
        <f>'(Intermediate Computations)'!I8</f>
        <v>40391</v>
      </c>
      <c r="I3" s="4">
        <f>'(Intermediate Computations)'!J8</f>
        <v>40422</v>
      </c>
      <c r="J3" s="4">
        <f>'(Intermediate Computations)'!K8</f>
        <v>40452</v>
      </c>
      <c r="K3" s="4">
        <f>'(Intermediate Computations)'!L8</f>
        <v>40483</v>
      </c>
      <c r="L3" s="4">
        <f>'(Intermediate Computations)'!M8</f>
        <v>40513</v>
      </c>
      <c r="M3" s="4">
        <f>'(Intermediate Computations)'!O8</f>
        <v>40544</v>
      </c>
      <c r="N3" s="4">
        <f>'(Intermediate Computations)'!P8</f>
        <v>40575</v>
      </c>
      <c r="O3" s="4">
        <f>'(Intermediate Computations)'!Q8</f>
        <v>40603</v>
      </c>
      <c r="P3" s="4">
        <f>'(Intermediate Computations)'!R8</f>
        <v>40634</v>
      </c>
      <c r="Q3" s="4">
        <f>'(Intermediate Computations)'!S8</f>
        <v>40664</v>
      </c>
      <c r="R3" s="4">
        <f>'(Intermediate Computations)'!T8</f>
        <v>40695</v>
      </c>
      <c r="S3" s="4">
        <f>'(Intermediate Computations)'!U8</f>
        <v>40725</v>
      </c>
      <c r="T3" s="4">
        <f>'(Intermediate Computations)'!V8</f>
        <v>40756</v>
      </c>
      <c r="U3" s="4">
        <f>'(Intermediate Computations)'!W8</f>
        <v>40787</v>
      </c>
      <c r="V3" s="4">
        <f>'(Intermediate Computations)'!X8</f>
        <v>40817</v>
      </c>
      <c r="W3" s="4">
        <f>'(Intermediate Computations)'!Y8</f>
        <v>40848</v>
      </c>
      <c r="X3" s="4">
        <f>'(Intermediate Computations)'!Z8</f>
        <v>40878</v>
      </c>
      <c r="Y3" s="4">
        <f>'(Intermediate Computations)'!AB8</f>
        <v>40909</v>
      </c>
      <c r="Z3" s="4">
        <f>'(Intermediate Computations)'!AC8</f>
        <v>40940</v>
      </c>
      <c r="AA3" s="4">
        <f>'(Intermediate Computations)'!AD8</f>
        <v>40969</v>
      </c>
      <c r="AB3" s="4">
        <f>'(Intermediate Computations)'!AE8</f>
        <v>41000</v>
      </c>
      <c r="AC3" s="4">
        <f>'(Intermediate Computations)'!AF8</f>
        <v>41030</v>
      </c>
      <c r="AD3" s="4">
        <f>'(Intermediate Computations)'!AG8</f>
        <v>41061</v>
      </c>
      <c r="AE3" s="4">
        <f>'(Intermediate Computations)'!AH8</f>
        <v>41091</v>
      </c>
      <c r="AF3" s="4">
        <f>'(Intermediate Computations)'!AI8</f>
        <v>41122</v>
      </c>
      <c r="AG3" s="4">
        <f>'(Intermediate Computations)'!AJ8</f>
        <v>41153</v>
      </c>
      <c r="AH3" s="4">
        <f>'(Intermediate Computations)'!AK8</f>
        <v>41183</v>
      </c>
      <c r="AI3" s="4">
        <f>'(Intermediate Computations)'!AL8</f>
        <v>41214</v>
      </c>
      <c r="AJ3" s="4">
        <f>'(Intermediate Computations)'!AM8</f>
        <v>41244</v>
      </c>
      <c r="AK3" s="4">
        <f>'(Intermediate Computations)'!AO8</f>
        <v>41275</v>
      </c>
      <c r="AL3" s="4">
        <f>'(Intermediate Computations)'!AP8</f>
        <v>41306</v>
      </c>
      <c r="AM3" s="4">
        <f>'(Intermediate Computations)'!AQ8</f>
        <v>41334</v>
      </c>
      <c r="AN3" s="4">
        <f>'(Intermediate Computations)'!AR8</f>
        <v>41365</v>
      </c>
      <c r="AO3" s="4">
        <f>'(Intermediate Computations)'!AS8</f>
        <v>41395</v>
      </c>
      <c r="AP3" s="4">
        <f>'(Intermediate Computations)'!AT8</f>
        <v>41426</v>
      </c>
      <c r="AQ3" s="4">
        <f>'(Intermediate Computations)'!AU8</f>
        <v>41456</v>
      </c>
      <c r="AR3" s="4">
        <f>'(Intermediate Computations)'!AV8</f>
        <v>41487</v>
      </c>
      <c r="AS3" s="4">
        <f>'(Intermediate Computations)'!AW8</f>
        <v>41518</v>
      </c>
      <c r="AT3" s="4">
        <f>'(Intermediate Computations)'!AX8</f>
        <v>41548</v>
      </c>
      <c r="AU3" s="4">
        <f>'(Intermediate Computations)'!AY8</f>
        <v>41579</v>
      </c>
      <c r="AV3" s="4">
        <f>'(Intermediate Computations)'!AZ8</f>
        <v>41609</v>
      </c>
      <c r="AW3" s="4">
        <f>'(Intermediate Computations)'!BB8</f>
        <v>41640</v>
      </c>
      <c r="AX3" s="4">
        <f>'(Intermediate Computations)'!BC8</f>
        <v>41671</v>
      </c>
      <c r="AY3" s="4">
        <f>'(Intermediate Computations)'!BD8</f>
        <v>41699</v>
      </c>
      <c r="AZ3" s="4">
        <f>'(Intermediate Computations)'!BE8</f>
        <v>41730</v>
      </c>
      <c r="BA3" s="4">
        <f>'(Intermediate Computations)'!BF8</f>
        <v>41760</v>
      </c>
      <c r="BB3" s="4">
        <f>'(Intermediate Computations)'!BG8</f>
        <v>41791</v>
      </c>
      <c r="BC3" s="4">
        <f>'(Intermediate Computations)'!BH8</f>
        <v>41821</v>
      </c>
      <c r="BD3" s="4">
        <f>'(Intermediate Computations)'!BI8</f>
        <v>41852</v>
      </c>
      <c r="BE3" s="4">
        <f>'(Intermediate Computations)'!BJ8</f>
        <v>41883</v>
      </c>
      <c r="BF3" s="4">
        <f>'(Intermediate Computations)'!BK8</f>
        <v>41913</v>
      </c>
      <c r="BG3" s="4">
        <f>'(Intermediate Computations)'!BL8</f>
        <v>41944</v>
      </c>
      <c r="BH3" s="4">
        <f>'(Intermediate Computations)'!BM8</f>
        <v>41974</v>
      </c>
      <c r="BI3" s="4">
        <f>'(Intermediate Computations)'!BO8</f>
        <v>42005</v>
      </c>
      <c r="BJ3" s="4">
        <f>'(Intermediate Computations)'!BP8</f>
        <v>42036</v>
      </c>
      <c r="BK3" s="4">
        <f>'(Intermediate Computations)'!BQ8</f>
        <v>42064</v>
      </c>
      <c r="BL3" s="4">
        <f>'(Intermediate Computations)'!BR8</f>
        <v>42095</v>
      </c>
      <c r="BM3" s="4">
        <f>'(Intermediate Computations)'!BS8</f>
        <v>42125</v>
      </c>
      <c r="BN3" s="4">
        <f>'(Intermediate Computations)'!BT8</f>
        <v>42156</v>
      </c>
      <c r="BO3" s="4">
        <f>'(Intermediate Computations)'!BU8</f>
        <v>42186</v>
      </c>
      <c r="BP3" s="4">
        <f>'(Intermediate Computations)'!BV8</f>
        <v>42217</v>
      </c>
      <c r="BQ3" s="4">
        <f>'(Intermediate Computations)'!BW8</f>
        <v>42248</v>
      </c>
      <c r="BR3" s="4">
        <f>'(Intermediate Computations)'!BX8</f>
        <v>42278</v>
      </c>
      <c r="BS3" s="4">
        <f>'(Intermediate Computations)'!BY8</f>
        <v>42309</v>
      </c>
      <c r="BT3" s="4">
        <f>'(Intermediate Computations)'!BZ8</f>
        <v>42339</v>
      </c>
      <c r="BU3" s="4">
        <f>'(Intermediate Computations)'!CB8</f>
        <v>42370</v>
      </c>
      <c r="BV3" s="4">
        <f>'(Intermediate Computations)'!CC8</f>
        <v>42401</v>
      </c>
      <c r="BW3" s="4">
        <f>'(Intermediate Computations)'!CD8</f>
        <v>42430</v>
      </c>
      <c r="BX3" s="4">
        <f>'(Intermediate Computations)'!CE8</f>
        <v>42461</v>
      </c>
      <c r="BY3" s="4">
        <f>'(Intermediate Computations)'!CF8</f>
        <v>42491</v>
      </c>
      <c r="BZ3" s="4">
        <f>'(Intermediate Computations)'!CG8</f>
        <v>42522</v>
      </c>
      <c r="CA3" s="4">
        <f>'(Intermediate Computations)'!CH8</f>
        <v>42552</v>
      </c>
      <c r="CB3" s="4">
        <f>'(Intermediate Computations)'!CI8</f>
        <v>42583</v>
      </c>
      <c r="CC3" s="4">
        <f>'(Intermediate Computations)'!CJ8</f>
        <v>42614</v>
      </c>
      <c r="CD3" s="4">
        <f>'(Intermediate Computations)'!CK8</f>
        <v>42644</v>
      </c>
      <c r="CE3" s="4">
        <f>'(Intermediate Computations)'!CL8</f>
        <v>42675</v>
      </c>
      <c r="CF3" s="4">
        <f>'(Intermediate Computations)'!CM8</f>
        <v>42705</v>
      </c>
      <c r="CG3" s="4">
        <f>'(Intermediate Computations)'!CO8</f>
        <v>42736</v>
      </c>
      <c r="CH3" s="4">
        <f>'(Intermediate Computations)'!CP8</f>
        <v>42767</v>
      </c>
      <c r="CI3" s="4">
        <f>'(Intermediate Computations)'!CQ8</f>
        <v>42795</v>
      </c>
      <c r="CJ3" s="4">
        <f>'(Intermediate Computations)'!CR8</f>
        <v>42826</v>
      </c>
      <c r="CK3" s="4">
        <f>'(Intermediate Computations)'!CS8</f>
        <v>42856</v>
      </c>
      <c r="CL3" s="4">
        <f>'(Intermediate Computations)'!CT8</f>
        <v>42887</v>
      </c>
      <c r="CM3" s="4">
        <f>'(Intermediate Computations)'!CU8</f>
        <v>42917</v>
      </c>
      <c r="CN3" s="4">
        <f>'(Intermediate Computations)'!CV8</f>
        <v>42948</v>
      </c>
      <c r="CO3" s="4">
        <f>'(Intermediate Computations)'!CW8</f>
        <v>42979</v>
      </c>
      <c r="CP3" s="4">
        <f>'(Intermediate Computations)'!CX8</f>
        <v>43009</v>
      </c>
      <c r="CQ3" s="4">
        <f>'(Intermediate Computations)'!CY8</f>
        <v>43040</v>
      </c>
      <c r="CR3" s="4">
        <f>'(Intermediate Computations)'!CZ8</f>
        <v>43070</v>
      </c>
      <c r="CS3" s="4">
        <f>'(Intermediate Computations)'!DB8</f>
        <v>43101</v>
      </c>
      <c r="CT3" s="4">
        <f>'(Intermediate Computations)'!DC8</f>
        <v>43132</v>
      </c>
      <c r="CU3" s="4">
        <f>'(Intermediate Computations)'!DD8</f>
        <v>43160</v>
      </c>
      <c r="CV3" s="4">
        <f>'(Intermediate Computations)'!DE8</f>
        <v>43191</v>
      </c>
      <c r="CW3" s="4">
        <f>'(Intermediate Computations)'!DF8</f>
        <v>43221</v>
      </c>
      <c r="CX3" s="4">
        <f>'(Intermediate Computations)'!DG8</f>
        <v>43252</v>
      </c>
      <c r="CY3" s="4">
        <f>'(Intermediate Computations)'!DH8</f>
        <v>43282</v>
      </c>
      <c r="CZ3" s="4">
        <f>'(Intermediate Computations)'!DI8</f>
        <v>43313</v>
      </c>
      <c r="DA3" s="4">
        <f>'(Intermediate Computations)'!DJ8</f>
        <v>43344</v>
      </c>
      <c r="DB3" s="4">
        <f>'(Intermediate Computations)'!DK8</f>
        <v>43374</v>
      </c>
      <c r="DC3" s="4">
        <f>'(Intermediate Computations)'!DL8</f>
        <v>43405</v>
      </c>
      <c r="DD3" s="4">
        <f>'(Intermediate Computations)'!DM8</f>
        <v>43435</v>
      </c>
      <c r="DE3" s="4">
        <f>'(Intermediate Computations)'!DO8</f>
        <v>43466</v>
      </c>
      <c r="DF3" s="4">
        <f>'(Intermediate Computations)'!DP8</f>
        <v>43497</v>
      </c>
      <c r="DG3" s="4">
        <f>'(Intermediate Computations)'!DQ8</f>
        <v>43525</v>
      </c>
      <c r="DH3" s="4">
        <f>'(Intermediate Computations)'!DR8</f>
        <v>43556</v>
      </c>
      <c r="DI3" s="4">
        <f>'(Intermediate Computations)'!DS8</f>
        <v>43586</v>
      </c>
      <c r="DJ3" s="4">
        <f>'(Intermediate Computations)'!DT8</f>
        <v>43617</v>
      </c>
      <c r="DK3" s="4">
        <f>'(Intermediate Computations)'!DU8</f>
        <v>43647</v>
      </c>
      <c r="DL3" s="4">
        <f>'(Intermediate Computations)'!DV8</f>
        <v>43678</v>
      </c>
      <c r="DM3" s="4">
        <f>'(Intermediate Computations)'!DW8</f>
        <v>43709</v>
      </c>
      <c r="DN3" s="4">
        <f>'(Intermediate Computations)'!DX8</f>
        <v>43739</v>
      </c>
      <c r="DO3" s="4">
        <f>'(Intermediate Computations)'!DY8</f>
        <v>43770</v>
      </c>
      <c r="DP3" s="4">
        <f>'(Intermediate Computations)'!DZ8</f>
        <v>43800</v>
      </c>
      <c r="DQ3" s="4">
        <f>'(Intermediate Computations)'!EB8</f>
        <v>43831</v>
      </c>
      <c r="DR3" s="4">
        <f>'(Intermediate Computations)'!EC8</f>
        <v>43862</v>
      </c>
      <c r="DS3" s="4">
        <f>'(Intermediate Computations)'!ED8</f>
        <v>43891</v>
      </c>
      <c r="DT3" s="4">
        <f>'(Intermediate Computations)'!EE8</f>
        <v>43922</v>
      </c>
      <c r="DU3" s="4">
        <f>'(Intermediate Computations)'!EF8</f>
        <v>43952</v>
      </c>
      <c r="DV3" s="4">
        <f>'(Intermediate Computations)'!EG8</f>
        <v>43983</v>
      </c>
      <c r="DW3" s="4">
        <f>'(Intermediate Computations)'!EH8</f>
        <v>44013</v>
      </c>
      <c r="DX3" s="4">
        <f>'(Intermediate Computations)'!EI8</f>
        <v>44044</v>
      </c>
      <c r="DY3" s="4">
        <f>'(Intermediate Computations)'!EJ8</f>
        <v>44075</v>
      </c>
      <c r="DZ3" s="4">
        <f>'(Intermediate Computations)'!EK8</f>
        <v>44105</v>
      </c>
      <c r="EA3" s="4">
        <f>'(Intermediate Computations)'!EL8</f>
        <v>44136</v>
      </c>
      <c r="EB3" s="4">
        <f>'(Intermediate Computations)'!EM8</f>
        <v>44166</v>
      </c>
    </row>
    <row r="4" spans="1:132" ht="12.75" customHeight="1" x14ac:dyDescent="0.2">
      <c r="A4" s="57">
        <f>Income!B11</f>
        <v>1167555.3477495622</v>
      </c>
      <c r="B4" s="57">
        <f ca="1">Income!C11</f>
        <v>1167587.9253138541</v>
      </c>
      <c r="C4" s="57">
        <f ca="1">Income!D11</f>
        <v>1167547.304254987</v>
      </c>
      <c r="D4" s="57">
        <f ca="1">Income!E11</f>
        <v>1167688.7772896637</v>
      </c>
      <c r="E4" s="57">
        <f ca="1">Income!F11</f>
        <v>1167775.6098424606</v>
      </c>
      <c r="F4" s="57">
        <f ca="1">Income!G11</f>
        <v>1167748.3871613729</v>
      </c>
      <c r="G4" s="57">
        <f ca="1">Income!H11</f>
        <v>1167801.8124321771</v>
      </c>
      <c r="H4" s="57">
        <f ca="1">Income!I11</f>
        <v>1167863.3200982073</v>
      </c>
      <c r="I4" s="57">
        <f ca="1">Income!J11</f>
        <v>1167856.35448753</v>
      </c>
      <c r="J4" s="57">
        <f ca="1">Income!K11</f>
        <v>1167923.498561912</v>
      </c>
      <c r="K4" s="57">
        <f ca="1">Income!L11</f>
        <v>1167964.0678440076</v>
      </c>
      <c r="L4" s="57">
        <f ca="1">Income!M11</f>
        <v>1167988.228590349</v>
      </c>
      <c r="M4" s="57">
        <f ca="1">Income!O11</f>
        <v>1167969.1086219936</v>
      </c>
      <c r="N4" s="57">
        <f ca="1">Income!P11</f>
        <v>1167927.1188853774</v>
      </c>
      <c r="O4" s="57">
        <f ca="1">Income!Q11</f>
        <v>1167968.233213983</v>
      </c>
      <c r="P4" s="57">
        <f ca="1">Income!R11</f>
        <v>1167876.1065378678</v>
      </c>
      <c r="Q4" s="57">
        <f ca="1">Income!S11</f>
        <v>1167935.2325309818</v>
      </c>
      <c r="R4" s="57">
        <f ca="1">Income!T11</f>
        <v>1168064.914163426</v>
      </c>
      <c r="S4" s="57">
        <f ca="1">Income!U11</f>
        <v>1168135.6530568479</v>
      </c>
      <c r="T4" s="57">
        <f ca="1">Income!V11</f>
        <v>1168028.9920293288</v>
      </c>
      <c r="U4" s="57">
        <f ca="1">Income!W11</f>
        <v>1168060.7428390756</v>
      </c>
      <c r="V4" s="57">
        <f ca="1">Income!X11</f>
        <v>1168107.5997609603</v>
      </c>
      <c r="W4" s="57">
        <f ca="1">Income!Y11</f>
        <v>1167979.8888643123</v>
      </c>
      <c r="X4" s="57">
        <f ca="1">Income!Z11</f>
        <v>1167988.4463955639</v>
      </c>
      <c r="Y4" s="57">
        <f ca="1">Income!AB11</f>
        <v>1167974.1044266738</v>
      </c>
      <c r="Z4" s="57">
        <f ca="1">Income!AC11</f>
        <v>1167985.7870985717</v>
      </c>
      <c r="AA4" s="57">
        <f ca="1">Income!AD11</f>
        <v>1168085.6139870323</v>
      </c>
      <c r="AB4" s="57">
        <f ca="1">Income!AE11</f>
        <v>1168207.3260010681</v>
      </c>
      <c r="AC4" s="57">
        <f ca="1">Income!AF11</f>
        <v>1168272.719901368</v>
      </c>
      <c r="AD4" s="57">
        <f ca="1">Income!AG11</f>
        <v>1168288.3744899933</v>
      </c>
      <c r="AE4" s="57">
        <f ca="1">Income!AH11</f>
        <v>1168217.2659146248</v>
      </c>
      <c r="AF4" s="57">
        <f ca="1">Income!AI11</f>
        <v>1168207.9241397125</v>
      </c>
      <c r="AG4" s="57">
        <f ca="1">Income!AJ11</f>
        <v>1168121.3927478304</v>
      </c>
      <c r="AH4" s="57">
        <f ca="1">Income!AK11</f>
        <v>1168095.4762768811</v>
      </c>
      <c r="AI4" s="57">
        <f ca="1">Income!AL11</f>
        <v>1168068.9217219865</v>
      </c>
      <c r="AJ4" s="57">
        <f ca="1">Income!AM11</f>
        <v>1168091.3321017246</v>
      </c>
      <c r="AK4" s="57">
        <f ca="1">Income!AO11</f>
        <v>1168080.2394526964</v>
      </c>
      <c r="AL4" s="57">
        <f ca="1">Income!AP11</f>
        <v>1168079.969178773</v>
      </c>
      <c r="AM4" s="57">
        <f ca="1">Income!AQ11</f>
        <v>1168139.0725584957</v>
      </c>
      <c r="AN4" s="57">
        <f ca="1">Income!AR11</f>
        <v>1168079.2570204302</v>
      </c>
      <c r="AO4" s="57">
        <f ca="1">Income!AS11</f>
        <v>1168064.2906671925</v>
      </c>
      <c r="AP4" s="57">
        <f ca="1">Income!AT11</f>
        <v>1168023.3452014588</v>
      </c>
      <c r="AQ4" s="57">
        <f ca="1">Income!AU11</f>
        <v>1168126.9626813354</v>
      </c>
      <c r="AR4" s="57">
        <f ca="1">Income!AV11</f>
        <v>1168146.3083352244</v>
      </c>
      <c r="AS4" s="57">
        <f ca="1">Income!AW11</f>
        <v>1168099.4514963999</v>
      </c>
      <c r="AT4" s="57">
        <f ca="1">Income!AX11</f>
        <v>1168121.5501497914</v>
      </c>
      <c r="AU4" s="57">
        <f ca="1">Income!AY11</f>
        <v>1168101.841025664</v>
      </c>
      <c r="AV4" s="57">
        <f ca="1">Income!AZ11</f>
        <v>1168017.2196828807</v>
      </c>
      <c r="AW4" s="57">
        <f ca="1">Income!BB11</f>
        <v>1168103.8312672707</v>
      </c>
      <c r="AX4" s="57">
        <f ca="1">Income!BC11</f>
        <v>1168197.0689789741</v>
      </c>
      <c r="AY4" s="57">
        <f ca="1">Income!BD11</f>
        <v>1168158.4473263565</v>
      </c>
      <c r="AZ4" s="57">
        <f ca="1">Income!BE11</f>
        <v>1168141.6689639487</v>
      </c>
      <c r="BA4" s="57">
        <f ca="1">Income!BF11</f>
        <v>1168149.2826880333</v>
      </c>
      <c r="BB4" s="57">
        <f ca="1">Income!BG11</f>
        <v>1168148.0251369555</v>
      </c>
      <c r="BC4" s="57">
        <f ca="1">Income!BH11</f>
        <v>1168079.9880218953</v>
      </c>
      <c r="BD4" s="57">
        <f ca="1">Income!BI11</f>
        <v>1168050.2063802718</v>
      </c>
      <c r="BE4" s="57">
        <f ca="1">Income!BJ11</f>
        <v>1167966.5925050117</v>
      </c>
      <c r="BF4" s="57">
        <f ca="1">Income!BK11</f>
        <v>1168036.2385525208</v>
      </c>
      <c r="BG4" s="57">
        <f ca="1">Income!BL11</f>
        <v>1168009.8103179953</v>
      </c>
      <c r="BH4" s="57">
        <f ca="1">Income!BM11</f>
        <v>1168142.2966129552</v>
      </c>
      <c r="BI4" s="57">
        <f ca="1">Income!BO11</f>
        <v>1168046.6746764968</v>
      </c>
      <c r="BJ4" s="57">
        <f ca="1">Income!BP11</f>
        <v>1168101.179574206</v>
      </c>
      <c r="BK4" s="57">
        <f ca="1">Income!BQ11</f>
        <v>1168142.742815292</v>
      </c>
      <c r="BL4" s="57">
        <f ca="1">Income!BR11</f>
        <v>1168139.1911131926</v>
      </c>
      <c r="BM4" s="57">
        <f ca="1">Income!BS11</f>
        <v>1168027.7634200451</v>
      </c>
      <c r="BN4" s="57">
        <f ca="1">Income!BT11</f>
        <v>1168204.9063412803</v>
      </c>
      <c r="BO4" s="57">
        <f ca="1">Income!BU11</f>
        <v>1168135.9928834666</v>
      </c>
      <c r="BP4" s="57">
        <f ca="1">Income!BV11</f>
        <v>1168174.0087470245</v>
      </c>
      <c r="BQ4" s="57">
        <f ca="1">Income!BW11</f>
        <v>1168189.9094572002</v>
      </c>
      <c r="BR4" s="57">
        <f ca="1">Income!BX11</f>
        <v>1168289.3450369239</v>
      </c>
      <c r="BS4" s="57">
        <f ca="1">Income!BY11</f>
        <v>1168253.1977069257</v>
      </c>
      <c r="BT4" s="57">
        <f ca="1">Income!BZ11</f>
        <v>1168260.314745598</v>
      </c>
      <c r="BU4" s="57">
        <f ca="1">Income!CB11</f>
        <v>1168344.5518979277</v>
      </c>
      <c r="BV4" s="57">
        <f ca="1">Income!CC11</f>
        <v>1168265.6125304129</v>
      </c>
      <c r="BW4" s="57">
        <f ca="1">Income!CD11</f>
        <v>1168252.5920358631</v>
      </c>
      <c r="BX4" s="57">
        <f ca="1">Income!CE11</f>
        <v>1168236.6264347583</v>
      </c>
      <c r="BY4" s="57">
        <f ca="1">Income!CF11</f>
        <v>1168271.3955432293</v>
      </c>
      <c r="BZ4" s="57">
        <f ca="1">Income!CG11</f>
        <v>1168345.6279009045</v>
      </c>
      <c r="CA4" s="57">
        <f ca="1">Income!CH11</f>
        <v>1168293.4925220339</v>
      </c>
      <c r="CB4" s="57">
        <f ca="1">Income!CI11</f>
        <v>1168185.8498722184</v>
      </c>
      <c r="CC4" s="57">
        <f ca="1">Income!CJ11</f>
        <v>1168069.9372769035</v>
      </c>
      <c r="CD4" s="57">
        <f ca="1">Income!CK11</f>
        <v>1168062.9411278735</v>
      </c>
      <c r="CE4" s="57">
        <f ca="1">Income!CL11</f>
        <v>1168046.9851927478</v>
      </c>
      <c r="CF4" s="57">
        <f ca="1">Income!CM11</f>
        <v>1168122.627753647</v>
      </c>
      <c r="CG4" s="57">
        <f ca="1">Income!CO11</f>
        <v>1168235.2091215402</v>
      </c>
      <c r="CH4" s="57">
        <f ca="1">Income!CP11</f>
        <v>1168108.925731184</v>
      </c>
      <c r="CI4" s="57">
        <f ca="1">Income!CQ11</f>
        <v>1167955.0038781611</v>
      </c>
      <c r="CJ4" s="57">
        <f ca="1">Income!CR11</f>
        <v>1167933.8353511102</v>
      </c>
      <c r="CK4" s="57">
        <f ca="1">Income!CS11</f>
        <v>1167954.4880080745</v>
      </c>
      <c r="CL4" s="57">
        <f ca="1">Income!CT11</f>
        <v>1167938.4639299358</v>
      </c>
      <c r="CM4" s="57">
        <f ca="1">Income!CU11</f>
        <v>1167974.6070142132</v>
      </c>
      <c r="CN4" s="57">
        <f ca="1">Income!CV11</f>
        <v>1167980.5564469723</v>
      </c>
      <c r="CO4" s="57">
        <f ca="1">Income!CW11</f>
        <v>1167932.648256449</v>
      </c>
      <c r="CP4" s="57">
        <f ca="1">Income!CX11</f>
        <v>1167919.2642312399</v>
      </c>
      <c r="CQ4" s="57">
        <f ca="1">Income!CY11</f>
        <v>1167842.623879933</v>
      </c>
      <c r="CR4" s="57">
        <f ca="1">Income!CZ11</f>
        <v>1167826.6538967714</v>
      </c>
      <c r="CS4" s="57">
        <f ca="1">Income!DB11</f>
        <v>1167878.4037473684</v>
      </c>
      <c r="CT4" s="57">
        <f ca="1">Income!DC11</f>
        <v>1167943.3410623618</v>
      </c>
      <c r="CU4" s="57">
        <f ca="1">Income!DD11</f>
        <v>1167977.9443888776</v>
      </c>
      <c r="CV4" s="57">
        <f ca="1">Income!DE11</f>
        <v>1167862.4875764851</v>
      </c>
      <c r="CW4" s="57">
        <f ca="1">Income!DF11</f>
        <v>1167793.6924592461</v>
      </c>
      <c r="CX4" s="57">
        <f ca="1">Income!DG11</f>
        <v>1167716.5520212054</v>
      </c>
      <c r="CY4" s="57">
        <f ca="1">Income!DH11</f>
        <v>1167746.7141493086</v>
      </c>
      <c r="CZ4" s="57">
        <f ca="1">Income!DI11</f>
        <v>1167689.2248225319</v>
      </c>
      <c r="DA4" s="57">
        <f ca="1">Income!DJ11</f>
        <v>1167557.9956191191</v>
      </c>
      <c r="DB4" s="57">
        <f ca="1">Income!DK11</f>
        <v>1167575.4569872287</v>
      </c>
      <c r="DC4" s="57">
        <f ca="1">Income!DL11</f>
        <v>1167631.5442031797</v>
      </c>
      <c r="DD4" s="57">
        <f ca="1">Income!DM11</f>
        <v>1167741.9252469689</v>
      </c>
      <c r="DE4" s="57">
        <f ca="1">Income!DO11</f>
        <v>1167632.5494439346</v>
      </c>
      <c r="DF4" s="57">
        <f ca="1">Income!DP11</f>
        <v>1167661.410660177</v>
      </c>
      <c r="DG4" s="57">
        <f ca="1">Income!DQ11</f>
        <v>1167648.4174612993</v>
      </c>
      <c r="DH4" s="57">
        <f ca="1">Income!DR11</f>
        <v>1167520.0218642638</v>
      </c>
      <c r="DI4" s="57">
        <f ca="1">Income!DS11</f>
        <v>1167537.2086344026</v>
      </c>
      <c r="DJ4" s="57">
        <f ca="1">Income!DT11</f>
        <v>1167552.5155821894</v>
      </c>
      <c r="DK4" s="57">
        <f ca="1">Income!DU11</f>
        <v>1167486.5264103552</v>
      </c>
      <c r="DL4" s="57">
        <f ca="1">Income!DV11</f>
        <v>1167487.3281867972</v>
      </c>
      <c r="DM4" s="57">
        <f ca="1">Income!DW11</f>
        <v>1167567.1636222089</v>
      </c>
      <c r="DN4" s="57">
        <f ca="1">Income!DX11</f>
        <v>1167474.6278380624</v>
      </c>
      <c r="DO4" s="57">
        <f ca="1">Income!DY11</f>
        <v>1167432.7429550029</v>
      </c>
      <c r="DP4" s="57">
        <f ca="1">Income!DZ11</f>
        <v>1167528.3384088879</v>
      </c>
      <c r="DQ4" s="57">
        <f ca="1">Income!EB11</f>
        <v>1167616.5580208083</v>
      </c>
      <c r="DR4" s="57">
        <f ca="1">Income!EC11</f>
        <v>1167551.011684048</v>
      </c>
      <c r="DS4" s="57">
        <f ca="1">Income!ED11</f>
        <v>1167500.6113708606</v>
      </c>
      <c r="DT4" s="57">
        <f ca="1">Income!EE11</f>
        <v>1167492.5988428909</v>
      </c>
      <c r="DU4" s="57">
        <f ca="1">Income!EF11</f>
        <v>1167369.0984903914</v>
      </c>
      <c r="DV4" s="57">
        <f ca="1">Income!EG11</f>
        <v>1167503.2772168235</v>
      </c>
      <c r="DW4" s="57">
        <f ca="1">Income!EH11</f>
        <v>1167479.3721705298</v>
      </c>
      <c r="DX4" s="57">
        <f ca="1">Income!EI11</f>
        <v>1167397.0480726992</v>
      </c>
      <c r="DY4" s="57">
        <f ca="1">Income!EJ11</f>
        <v>1167488.813672469</v>
      </c>
      <c r="DZ4" s="57">
        <f ca="1">Income!EK11</f>
        <v>1167345.1173066904</v>
      </c>
      <c r="EA4" s="57">
        <f ca="1">Income!EL11</f>
        <v>1167418.5505983299</v>
      </c>
      <c r="EB4" s="57">
        <f ca="1">Income!EM11</f>
        <v>1167454.7904770589</v>
      </c>
    </row>
    <row r="5" spans="1:132" ht="12.75" customHeight="1" x14ac:dyDescent="0.2">
      <c r="A5" s="4" t="str">
        <f>'(Intermediate Computations)'!B17</f>
        <v>MMM 2010</v>
      </c>
      <c r="B5" s="4" t="str">
        <f>'(Intermediate Computations)'!C17</f>
        <v>MMM 2010</v>
      </c>
      <c r="C5" s="4" t="str">
        <f>'(Intermediate Computations)'!D17</f>
        <v>MMM 2010</v>
      </c>
      <c r="D5" s="4" t="str">
        <f>'(Intermediate Computations)'!E17</f>
        <v>MMM 2010</v>
      </c>
      <c r="E5" s="4" t="str">
        <f>'(Intermediate Computations)'!F17</f>
        <v>MMM 2010</v>
      </c>
      <c r="F5" s="4" t="str">
        <f>'(Intermediate Computations)'!G17</f>
        <v>MMM 2010</v>
      </c>
      <c r="G5" s="4" t="str">
        <f>'(Intermediate Computations)'!H17</f>
        <v>MMM 2010</v>
      </c>
      <c r="H5" s="4" t="str">
        <f>'(Intermediate Computations)'!I17</f>
        <v>MMM 2010</v>
      </c>
      <c r="I5" s="4" t="str">
        <f>'(Intermediate Computations)'!J17</f>
        <v>MMM 2010</v>
      </c>
      <c r="J5" s="4" t="str">
        <f>'(Intermediate Computations)'!K17</f>
        <v>MMM 2010</v>
      </c>
      <c r="K5" s="4" t="str">
        <f>'(Intermediate Computations)'!L17</f>
        <v>MMM 2010</v>
      </c>
      <c r="L5" s="4" t="str">
        <f>'(Intermediate Computations)'!M17</f>
        <v>MMM 2010</v>
      </c>
      <c r="M5" s="4" t="str">
        <f>'(Intermediate Computations)'!O17</f>
        <v>MMM 2011</v>
      </c>
      <c r="N5" s="4" t="str">
        <f>'(Intermediate Computations)'!P17</f>
        <v>MMM 2011</v>
      </c>
      <c r="O5" s="4" t="str">
        <f>'(Intermediate Computations)'!Q17</f>
        <v>MMM 2011</v>
      </c>
      <c r="P5" s="4" t="str">
        <f>'(Intermediate Computations)'!R17</f>
        <v>MMM 2011</v>
      </c>
      <c r="Q5" s="4" t="str">
        <f>'(Intermediate Computations)'!S17</f>
        <v>MMM 2011</v>
      </c>
      <c r="R5" s="4" t="str">
        <f>'(Intermediate Computations)'!T17</f>
        <v>MMM 2011</v>
      </c>
      <c r="S5" s="4" t="str">
        <f>'(Intermediate Computations)'!U17</f>
        <v>MMM 2011</v>
      </c>
      <c r="T5" s="4" t="str">
        <f>'(Intermediate Computations)'!V17</f>
        <v>MMM 2011</v>
      </c>
      <c r="U5" s="4" t="str">
        <f>'(Intermediate Computations)'!W17</f>
        <v>MMM 2011</v>
      </c>
      <c r="V5" s="4" t="str">
        <f>'(Intermediate Computations)'!X17</f>
        <v>MMM 2011</v>
      </c>
      <c r="W5" s="4" t="str">
        <f>'(Intermediate Computations)'!Y17</f>
        <v>MMM 2011</v>
      </c>
      <c r="X5" s="4" t="str">
        <f>'(Intermediate Computations)'!Z17</f>
        <v>MMM 2011</v>
      </c>
      <c r="Y5" s="4" t="str">
        <f>'(Intermediate Computations)'!AB17</f>
        <v>MMM 2012</v>
      </c>
      <c r="Z5" s="4" t="str">
        <f>'(Intermediate Computations)'!AC17</f>
        <v>MMM 2012</v>
      </c>
      <c r="AA5" s="4" t="str">
        <f>'(Intermediate Computations)'!AD17</f>
        <v>MMM 2012</v>
      </c>
      <c r="AB5" s="4" t="str">
        <f>'(Intermediate Computations)'!AE17</f>
        <v>MMM 2012</v>
      </c>
      <c r="AC5" s="4" t="str">
        <f>'(Intermediate Computations)'!AF17</f>
        <v>MMM 2012</v>
      </c>
      <c r="AD5" s="4" t="str">
        <f>'(Intermediate Computations)'!AG17</f>
        <v>MMM 2012</v>
      </c>
      <c r="AE5" s="4" t="str">
        <f>'(Intermediate Computations)'!AH17</f>
        <v>MMM 2012</v>
      </c>
      <c r="AF5" s="4" t="str">
        <f>'(Intermediate Computations)'!AI17</f>
        <v>MMM 2012</v>
      </c>
      <c r="AG5" s="4" t="str">
        <f>'(Intermediate Computations)'!AJ17</f>
        <v>MMM 2012</v>
      </c>
      <c r="AH5" s="4" t="str">
        <f>'(Intermediate Computations)'!AK17</f>
        <v>MMM 2012</v>
      </c>
      <c r="AI5" s="4" t="str">
        <f>'(Intermediate Computations)'!AL17</f>
        <v>MMM 2012</v>
      </c>
      <c r="AJ5" s="4" t="str">
        <f>'(Intermediate Computations)'!AM17</f>
        <v>MMM 2012</v>
      </c>
      <c r="AK5" s="4" t="str">
        <f>'(Intermediate Computations)'!AO17</f>
        <v>MMM 2013</v>
      </c>
      <c r="AL5" s="4" t="str">
        <f>'(Intermediate Computations)'!AP17</f>
        <v>MMM 2013</v>
      </c>
      <c r="AM5" s="4" t="str">
        <f>'(Intermediate Computations)'!AQ17</f>
        <v>MMM 2013</v>
      </c>
      <c r="AN5" s="4" t="str">
        <f>'(Intermediate Computations)'!AR17</f>
        <v>MMM 2013</v>
      </c>
      <c r="AO5" s="4" t="str">
        <f>'(Intermediate Computations)'!AS17</f>
        <v>MMM 2013</v>
      </c>
      <c r="AP5" s="4" t="str">
        <f>'(Intermediate Computations)'!AT17</f>
        <v>MMM 2013</v>
      </c>
      <c r="AQ5" s="4" t="str">
        <f>'(Intermediate Computations)'!AU17</f>
        <v>MMM 2013</v>
      </c>
      <c r="AR5" s="4" t="str">
        <f>'(Intermediate Computations)'!AV17</f>
        <v>MMM 2013</v>
      </c>
      <c r="AS5" s="4" t="str">
        <f>'(Intermediate Computations)'!AW17</f>
        <v>MMM 2013</v>
      </c>
      <c r="AT5" s="4" t="str">
        <f>'(Intermediate Computations)'!AX17</f>
        <v>MMM 2013</v>
      </c>
      <c r="AU5" s="4" t="str">
        <f>'(Intermediate Computations)'!AY17</f>
        <v>MMM 2013</v>
      </c>
      <c r="AV5" s="4" t="str">
        <f>'(Intermediate Computations)'!AZ17</f>
        <v>MMM 2013</v>
      </c>
      <c r="AW5" s="4" t="str">
        <f>'(Intermediate Computations)'!BB17</f>
        <v>MMM 2014</v>
      </c>
      <c r="AX5" s="4" t="str">
        <f>'(Intermediate Computations)'!BC17</f>
        <v>MMM 2014</v>
      </c>
      <c r="AY5" s="4" t="str">
        <f>'(Intermediate Computations)'!BD17</f>
        <v>MMM 2014</v>
      </c>
      <c r="AZ5" s="4" t="str">
        <f>'(Intermediate Computations)'!BE17</f>
        <v>MMM 2014</v>
      </c>
      <c r="BA5" s="4" t="str">
        <f>'(Intermediate Computations)'!BF17</f>
        <v>MMM 2014</v>
      </c>
      <c r="BB5" s="4" t="str">
        <f>'(Intermediate Computations)'!BG17</f>
        <v>MMM 2014</v>
      </c>
      <c r="BC5" s="4" t="str">
        <f>'(Intermediate Computations)'!BH17</f>
        <v>MMM 2014</v>
      </c>
      <c r="BD5" s="4" t="str">
        <f>'(Intermediate Computations)'!BI17</f>
        <v>MMM 2014</v>
      </c>
      <c r="BE5" s="4" t="str">
        <f>'(Intermediate Computations)'!BJ17</f>
        <v>MMM 2014</v>
      </c>
      <c r="BF5" s="4" t="str">
        <f>'(Intermediate Computations)'!BK17</f>
        <v>MMM 2014</v>
      </c>
      <c r="BG5" s="4" t="str">
        <f>'(Intermediate Computations)'!BL17</f>
        <v>MMM 2014</v>
      </c>
      <c r="BH5" s="4" t="str">
        <f>'(Intermediate Computations)'!BM17</f>
        <v>MMM 2014</v>
      </c>
      <c r="BI5" s="4" t="str">
        <f>'(Intermediate Computations)'!BO17</f>
        <v>MMM 2015</v>
      </c>
      <c r="BJ5" s="4" t="str">
        <f>'(Intermediate Computations)'!BP17</f>
        <v>MMM 2015</v>
      </c>
      <c r="BK5" s="4" t="str">
        <f>'(Intermediate Computations)'!BQ17</f>
        <v>MMM 2015</v>
      </c>
      <c r="BL5" s="4" t="str">
        <f>'(Intermediate Computations)'!BR17</f>
        <v>MMM 2015</v>
      </c>
      <c r="BM5" s="4" t="str">
        <f>'(Intermediate Computations)'!BS17</f>
        <v>MMM 2015</v>
      </c>
      <c r="BN5" s="4" t="str">
        <f>'(Intermediate Computations)'!BT17</f>
        <v>MMM 2015</v>
      </c>
      <c r="BO5" s="4" t="str">
        <f>'(Intermediate Computations)'!BU17</f>
        <v>MMM 2015</v>
      </c>
      <c r="BP5" s="4" t="str">
        <f>'(Intermediate Computations)'!BV17</f>
        <v>MMM 2015</v>
      </c>
      <c r="BQ5" s="4" t="str">
        <f>'(Intermediate Computations)'!BW17</f>
        <v>MMM 2015</v>
      </c>
      <c r="BR5" s="4" t="str">
        <f>'(Intermediate Computations)'!BX17</f>
        <v>MMM 2015</v>
      </c>
      <c r="BS5" s="4" t="str">
        <f>'(Intermediate Computations)'!BY17</f>
        <v>MMM 2015</v>
      </c>
      <c r="BT5" s="4" t="str">
        <f>'(Intermediate Computations)'!BZ17</f>
        <v>MMM 2015</v>
      </c>
      <c r="BU5" s="4" t="str">
        <f>'(Intermediate Computations)'!CB17</f>
        <v>MMM 2016</v>
      </c>
      <c r="BV5" s="4" t="str">
        <f>'(Intermediate Computations)'!CC17</f>
        <v>MMM 2016</v>
      </c>
      <c r="BW5" s="4" t="str">
        <f>'(Intermediate Computations)'!CD17</f>
        <v>MMM 2016</v>
      </c>
      <c r="BX5" s="4" t="str">
        <f>'(Intermediate Computations)'!CE17</f>
        <v>MMM 2016</v>
      </c>
      <c r="BY5" s="4" t="str">
        <f>'(Intermediate Computations)'!CF17</f>
        <v>MMM 2016</v>
      </c>
      <c r="BZ5" s="4" t="str">
        <f>'(Intermediate Computations)'!CG17</f>
        <v>MMM 2016</v>
      </c>
      <c r="CA5" s="4" t="str">
        <f>'(Intermediate Computations)'!CH17</f>
        <v>MMM 2016</v>
      </c>
      <c r="CB5" s="4" t="str">
        <f>'(Intermediate Computations)'!CI17</f>
        <v>MMM 2016</v>
      </c>
      <c r="CC5" s="4" t="str">
        <f>'(Intermediate Computations)'!CJ17</f>
        <v>MMM 2016</v>
      </c>
      <c r="CD5" s="4" t="str">
        <f>'(Intermediate Computations)'!CK17</f>
        <v>MMM 2016</v>
      </c>
      <c r="CE5" s="4" t="str">
        <f>'(Intermediate Computations)'!CL17</f>
        <v>MMM 2016</v>
      </c>
      <c r="CF5" s="4" t="str">
        <f>'(Intermediate Computations)'!CM17</f>
        <v>MMM 2016</v>
      </c>
      <c r="CG5" s="4" t="str">
        <f>'(Intermediate Computations)'!CO17</f>
        <v>MMM 2017</v>
      </c>
      <c r="CH5" s="4" t="str">
        <f>'(Intermediate Computations)'!CP17</f>
        <v>MMM 2017</v>
      </c>
      <c r="CI5" s="4" t="str">
        <f>'(Intermediate Computations)'!CQ17</f>
        <v>MMM 2017</v>
      </c>
      <c r="CJ5" s="4" t="str">
        <f>'(Intermediate Computations)'!CR17</f>
        <v>MMM 2017</v>
      </c>
      <c r="CK5" s="4" t="str">
        <f>'(Intermediate Computations)'!CS17</f>
        <v>MMM 2017</v>
      </c>
      <c r="CL5" s="4" t="str">
        <f>'(Intermediate Computations)'!CT17</f>
        <v>MMM 2017</v>
      </c>
      <c r="CM5" s="4" t="str">
        <f>'(Intermediate Computations)'!CU17</f>
        <v>MMM 2017</v>
      </c>
      <c r="CN5" s="4" t="str">
        <f>'(Intermediate Computations)'!CV17</f>
        <v>MMM 2017</v>
      </c>
      <c r="CO5" s="4" t="str">
        <f>'(Intermediate Computations)'!CW17</f>
        <v>MMM 2017</v>
      </c>
      <c r="CP5" s="4" t="str">
        <f>'(Intermediate Computations)'!CX17</f>
        <v>MMM 2017</v>
      </c>
      <c r="CQ5" s="4" t="str">
        <f>'(Intermediate Computations)'!CY17</f>
        <v>MMM 2017</v>
      </c>
      <c r="CR5" s="4" t="str">
        <f>'(Intermediate Computations)'!CZ17</f>
        <v>MMM 2017</v>
      </c>
      <c r="CS5" s="4" t="str">
        <f>'(Intermediate Computations)'!DB17</f>
        <v>MMM 2018</v>
      </c>
      <c r="CT5" s="4" t="str">
        <f>'(Intermediate Computations)'!DC17</f>
        <v>MMM 2018</v>
      </c>
      <c r="CU5" s="4" t="str">
        <f>'(Intermediate Computations)'!DD17</f>
        <v>MMM 2018</v>
      </c>
      <c r="CV5" s="4" t="str">
        <f>'(Intermediate Computations)'!DE17</f>
        <v>MMM 2018</v>
      </c>
      <c r="CW5" s="4" t="str">
        <f>'(Intermediate Computations)'!DF17</f>
        <v>MMM 2018</v>
      </c>
      <c r="CX5" s="4" t="str">
        <f>'(Intermediate Computations)'!DG17</f>
        <v>MMM 2018</v>
      </c>
      <c r="CY5" s="4" t="str">
        <f>'(Intermediate Computations)'!DH17</f>
        <v>MMM 2018</v>
      </c>
      <c r="CZ5" s="4" t="str">
        <f>'(Intermediate Computations)'!DI17</f>
        <v>MMM 2018</v>
      </c>
      <c r="DA5" s="4" t="str">
        <f>'(Intermediate Computations)'!DJ17</f>
        <v>MMM 2018</v>
      </c>
      <c r="DB5" s="4" t="str">
        <f>'(Intermediate Computations)'!DK17</f>
        <v>MMM 2018</v>
      </c>
      <c r="DC5" s="4" t="str">
        <f>'(Intermediate Computations)'!DL17</f>
        <v>MMM 2018</v>
      </c>
      <c r="DD5" s="4" t="str">
        <f>'(Intermediate Computations)'!DM17</f>
        <v>MMM 2018</v>
      </c>
      <c r="DE5" s="4" t="str">
        <f>'(Intermediate Computations)'!DO17</f>
        <v>MMM 2019</v>
      </c>
      <c r="DF5" s="4" t="str">
        <f>'(Intermediate Computations)'!DP17</f>
        <v>MMM 2019</v>
      </c>
      <c r="DG5" s="4" t="str">
        <f>'(Intermediate Computations)'!DQ17</f>
        <v>MMM 2019</v>
      </c>
      <c r="DH5" s="4" t="str">
        <f>'(Intermediate Computations)'!DR17</f>
        <v>MMM 2019</v>
      </c>
      <c r="DI5" s="4" t="str">
        <f>'(Intermediate Computations)'!DS17</f>
        <v>MMM 2019</v>
      </c>
      <c r="DJ5" s="4" t="str">
        <f>'(Intermediate Computations)'!DT17</f>
        <v>MMM 2019</v>
      </c>
      <c r="DK5" s="4" t="str">
        <f>'(Intermediate Computations)'!DU17</f>
        <v>MMM 2019</v>
      </c>
      <c r="DL5" s="4" t="str">
        <f>'(Intermediate Computations)'!DV17</f>
        <v>MMM 2019</v>
      </c>
      <c r="DM5" s="4" t="str">
        <f>'(Intermediate Computations)'!DW17</f>
        <v>MMM 2019</v>
      </c>
      <c r="DN5" s="4" t="str">
        <f>'(Intermediate Computations)'!DX17</f>
        <v>MMM 2019</v>
      </c>
      <c r="DO5" s="4" t="str">
        <f>'(Intermediate Computations)'!DY17</f>
        <v>MMM 2019</v>
      </c>
      <c r="DP5" s="4" t="str">
        <f>'(Intermediate Computations)'!DZ17</f>
        <v>MMM 2019</v>
      </c>
      <c r="DQ5" s="4" t="str">
        <f>'(Intermediate Computations)'!EB17</f>
        <v>MMM 2020</v>
      </c>
      <c r="DR5" s="4" t="str">
        <f>'(Intermediate Computations)'!EC17</f>
        <v>MMM 2020</v>
      </c>
      <c r="DS5" s="4" t="str">
        <f>'(Intermediate Computations)'!ED17</f>
        <v>MMM 2020</v>
      </c>
      <c r="DT5" s="4" t="str">
        <f>'(Intermediate Computations)'!EE17</f>
        <v>MMM 2020</v>
      </c>
      <c r="DU5" s="4" t="str">
        <f>'(Intermediate Computations)'!EF17</f>
        <v>MMM 2020</v>
      </c>
      <c r="DV5" s="4" t="str">
        <f>'(Intermediate Computations)'!EG17</f>
        <v>MMM 2020</v>
      </c>
      <c r="DW5" s="4" t="str">
        <f>'(Intermediate Computations)'!EH17</f>
        <v>MMM 2020</v>
      </c>
      <c r="DX5" s="4" t="str">
        <f>'(Intermediate Computations)'!EI17</f>
        <v>MMM 2020</v>
      </c>
      <c r="DY5" s="4" t="str">
        <f>'(Intermediate Computations)'!EJ17</f>
        <v>MMM 2020</v>
      </c>
      <c r="DZ5" s="4" t="str">
        <f>'(Intermediate Computations)'!EK17</f>
        <v>MMM 2020</v>
      </c>
      <c r="EA5" s="4" t="str">
        <f>'(Intermediate Computations)'!EL17</f>
        <v>MMM 2020</v>
      </c>
      <c r="EB5" s="4" t="str">
        <f>'(Intermediate Computations)'!EM17</f>
        <v>MMM 2020</v>
      </c>
    </row>
    <row r="6" spans="1:132" ht="12.75" customHeight="1" x14ac:dyDescent="0.2">
      <c r="A6" s="4">
        <f>'(Intermediate Computations)'!B14</f>
        <v>40179</v>
      </c>
      <c r="B6" s="4">
        <f>'(Intermediate Computations)'!C14</f>
        <v>40210</v>
      </c>
      <c r="C6" s="4">
        <f>'(Intermediate Computations)'!D14</f>
        <v>40238</v>
      </c>
      <c r="D6" s="4">
        <f>'(Intermediate Computations)'!E14</f>
        <v>40269</v>
      </c>
      <c r="E6" s="4">
        <f>'(Intermediate Computations)'!F14</f>
        <v>40299</v>
      </c>
      <c r="F6" s="4">
        <f>'(Intermediate Computations)'!G14</f>
        <v>40330</v>
      </c>
      <c r="G6" s="4">
        <f>'(Intermediate Computations)'!H14</f>
        <v>40360</v>
      </c>
      <c r="H6" s="4">
        <f>'(Intermediate Computations)'!I14</f>
        <v>40391</v>
      </c>
      <c r="I6" s="4">
        <f>'(Intermediate Computations)'!J14</f>
        <v>40422</v>
      </c>
      <c r="J6" s="4">
        <f>'(Intermediate Computations)'!K14</f>
        <v>40452</v>
      </c>
      <c r="K6" s="4">
        <f>'(Intermediate Computations)'!L14</f>
        <v>40483</v>
      </c>
      <c r="L6" s="4">
        <f>'(Intermediate Computations)'!M14</f>
        <v>40513</v>
      </c>
      <c r="M6" s="4">
        <f>'(Intermediate Computations)'!O14</f>
        <v>40544</v>
      </c>
      <c r="N6" s="4">
        <f>'(Intermediate Computations)'!P14</f>
        <v>40575</v>
      </c>
      <c r="O6" s="4">
        <f>'(Intermediate Computations)'!Q14</f>
        <v>40603</v>
      </c>
      <c r="P6" s="4">
        <f>'(Intermediate Computations)'!R14</f>
        <v>40634</v>
      </c>
      <c r="Q6" s="4">
        <f>'(Intermediate Computations)'!S14</f>
        <v>40664</v>
      </c>
      <c r="R6" s="4">
        <f>'(Intermediate Computations)'!T14</f>
        <v>40695</v>
      </c>
      <c r="S6" s="4">
        <f>'(Intermediate Computations)'!U14</f>
        <v>40725</v>
      </c>
      <c r="T6" s="4">
        <f>'(Intermediate Computations)'!V14</f>
        <v>40756</v>
      </c>
      <c r="U6" s="4">
        <f>'(Intermediate Computations)'!W14</f>
        <v>40787</v>
      </c>
      <c r="V6" s="4">
        <f>'(Intermediate Computations)'!X14</f>
        <v>40817</v>
      </c>
      <c r="W6" s="4">
        <f>'(Intermediate Computations)'!Y14</f>
        <v>40848</v>
      </c>
      <c r="X6" s="4">
        <f>'(Intermediate Computations)'!Z14</f>
        <v>40878</v>
      </c>
      <c r="Y6" s="4">
        <f>'(Intermediate Computations)'!AB14</f>
        <v>40909</v>
      </c>
      <c r="Z6" s="4">
        <f>'(Intermediate Computations)'!AC14</f>
        <v>40940</v>
      </c>
      <c r="AA6" s="4">
        <f>'(Intermediate Computations)'!AD14</f>
        <v>40969</v>
      </c>
      <c r="AB6" s="4">
        <f>'(Intermediate Computations)'!AE14</f>
        <v>41000</v>
      </c>
      <c r="AC6" s="4">
        <f>'(Intermediate Computations)'!AF14</f>
        <v>41030</v>
      </c>
      <c r="AD6" s="4">
        <f>'(Intermediate Computations)'!AG14</f>
        <v>41061</v>
      </c>
      <c r="AE6" s="4">
        <f>'(Intermediate Computations)'!AH14</f>
        <v>41091</v>
      </c>
      <c r="AF6" s="4">
        <f>'(Intermediate Computations)'!AI14</f>
        <v>41122</v>
      </c>
      <c r="AG6" s="4">
        <f>'(Intermediate Computations)'!AJ14</f>
        <v>41153</v>
      </c>
      <c r="AH6" s="4">
        <f>'(Intermediate Computations)'!AK14</f>
        <v>41183</v>
      </c>
      <c r="AI6" s="4">
        <f>'(Intermediate Computations)'!AL14</f>
        <v>41214</v>
      </c>
      <c r="AJ6" s="4">
        <f>'(Intermediate Computations)'!AM14</f>
        <v>41244</v>
      </c>
      <c r="AK6" s="4">
        <f>'(Intermediate Computations)'!AO14</f>
        <v>41275</v>
      </c>
      <c r="AL6" s="4">
        <f>'(Intermediate Computations)'!AP14</f>
        <v>41306</v>
      </c>
      <c r="AM6" s="4">
        <f>'(Intermediate Computations)'!AQ14</f>
        <v>41334</v>
      </c>
      <c r="AN6" s="4">
        <f>'(Intermediate Computations)'!AR14</f>
        <v>41365</v>
      </c>
      <c r="AO6" s="4">
        <f>'(Intermediate Computations)'!AS14</f>
        <v>41395</v>
      </c>
      <c r="AP6" s="4">
        <f>'(Intermediate Computations)'!AT14</f>
        <v>41426</v>
      </c>
      <c r="AQ6" s="4">
        <f>'(Intermediate Computations)'!AU14</f>
        <v>41456</v>
      </c>
      <c r="AR6" s="4">
        <f>'(Intermediate Computations)'!AV14</f>
        <v>41487</v>
      </c>
      <c r="AS6" s="4">
        <f>'(Intermediate Computations)'!AW14</f>
        <v>41518</v>
      </c>
      <c r="AT6" s="4">
        <f>'(Intermediate Computations)'!AX14</f>
        <v>41548</v>
      </c>
      <c r="AU6" s="4">
        <f>'(Intermediate Computations)'!AY14</f>
        <v>41579</v>
      </c>
      <c r="AV6" s="4">
        <f>'(Intermediate Computations)'!AZ14</f>
        <v>41609</v>
      </c>
      <c r="AW6" s="4">
        <f>'(Intermediate Computations)'!BB14</f>
        <v>41640</v>
      </c>
      <c r="AX6" s="4">
        <f>'(Intermediate Computations)'!BC14</f>
        <v>41671</v>
      </c>
      <c r="AY6" s="4">
        <f>'(Intermediate Computations)'!BD14</f>
        <v>41699</v>
      </c>
      <c r="AZ6" s="4">
        <f>'(Intermediate Computations)'!BE14</f>
        <v>41730</v>
      </c>
      <c r="BA6" s="4">
        <f>'(Intermediate Computations)'!BF14</f>
        <v>41760</v>
      </c>
      <c r="BB6" s="4">
        <f>'(Intermediate Computations)'!BG14</f>
        <v>41791</v>
      </c>
      <c r="BC6" s="4">
        <f>'(Intermediate Computations)'!BH14</f>
        <v>41821</v>
      </c>
      <c r="BD6" s="4">
        <f>'(Intermediate Computations)'!BI14</f>
        <v>41852</v>
      </c>
      <c r="BE6" s="4">
        <f>'(Intermediate Computations)'!BJ14</f>
        <v>41883</v>
      </c>
      <c r="BF6" s="4">
        <f>'(Intermediate Computations)'!BK14</f>
        <v>41913</v>
      </c>
      <c r="BG6" s="4">
        <f>'(Intermediate Computations)'!BL14</f>
        <v>41944</v>
      </c>
      <c r="BH6" s="4">
        <f>'(Intermediate Computations)'!BM14</f>
        <v>41974</v>
      </c>
      <c r="BI6" s="4">
        <f>'(Intermediate Computations)'!BO14</f>
        <v>42005</v>
      </c>
      <c r="BJ6" s="4">
        <f>'(Intermediate Computations)'!BP14</f>
        <v>42036</v>
      </c>
      <c r="BK6" s="4">
        <f>'(Intermediate Computations)'!BQ14</f>
        <v>42064</v>
      </c>
      <c r="BL6" s="4">
        <f>'(Intermediate Computations)'!BR14</f>
        <v>42095</v>
      </c>
      <c r="BM6" s="4">
        <f>'(Intermediate Computations)'!BS14</f>
        <v>42125</v>
      </c>
      <c r="BN6" s="4">
        <f>'(Intermediate Computations)'!BT14</f>
        <v>42156</v>
      </c>
      <c r="BO6" s="4">
        <f>'(Intermediate Computations)'!BU14</f>
        <v>42186</v>
      </c>
      <c r="BP6" s="4">
        <f>'(Intermediate Computations)'!BV14</f>
        <v>42217</v>
      </c>
      <c r="BQ6" s="4">
        <f>'(Intermediate Computations)'!BW14</f>
        <v>42248</v>
      </c>
      <c r="BR6" s="4">
        <f>'(Intermediate Computations)'!BX14</f>
        <v>42278</v>
      </c>
      <c r="BS6" s="4">
        <f>'(Intermediate Computations)'!BY14</f>
        <v>42309</v>
      </c>
      <c r="BT6" s="4">
        <f>'(Intermediate Computations)'!BZ14</f>
        <v>42339</v>
      </c>
      <c r="BU6" s="4">
        <f>'(Intermediate Computations)'!CB14</f>
        <v>42370</v>
      </c>
      <c r="BV6" s="4">
        <f>'(Intermediate Computations)'!CC14</f>
        <v>42401</v>
      </c>
      <c r="BW6" s="4">
        <f>'(Intermediate Computations)'!CD14</f>
        <v>42430</v>
      </c>
      <c r="BX6" s="4">
        <f>'(Intermediate Computations)'!CE14</f>
        <v>42461</v>
      </c>
      <c r="BY6" s="4">
        <f>'(Intermediate Computations)'!CF14</f>
        <v>42491</v>
      </c>
      <c r="BZ6" s="4">
        <f>'(Intermediate Computations)'!CG14</f>
        <v>42522</v>
      </c>
      <c r="CA6" s="4">
        <f>'(Intermediate Computations)'!CH14</f>
        <v>42552</v>
      </c>
      <c r="CB6" s="4">
        <f>'(Intermediate Computations)'!CI14</f>
        <v>42583</v>
      </c>
      <c r="CC6" s="4">
        <f>'(Intermediate Computations)'!CJ14</f>
        <v>42614</v>
      </c>
      <c r="CD6" s="4">
        <f>'(Intermediate Computations)'!CK14</f>
        <v>42644</v>
      </c>
      <c r="CE6" s="4">
        <f>'(Intermediate Computations)'!CL14</f>
        <v>42675</v>
      </c>
      <c r="CF6" s="4">
        <f>'(Intermediate Computations)'!CM14</f>
        <v>42705</v>
      </c>
      <c r="CG6" s="4">
        <f>'(Intermediate Computations)'!CO14</f>
        <v>42736</v>
      </c>
      <c r="CH6" s="4">
        <f>'(Intermediate Computations)'!CP14</f>
        <v>42767</v>
      </c>
      <c r="CI6" s="4">
        <f>'(Intermediate Computations)'!CQ14</f>
        <v>42795</v>
      </c>
      <c r="CJ6" s="4">
        <f>'(Intermediate Computations)'!CR14</f>
        <v>42826</v>
      </c>
      <c r="CK6" s="4">
        <f>'(Intermediate Computations)'!CS14</f>
        <v>42856</v>
      </c>
      <c r="CL6" s="4">
        <f>'(Intermediate Computations)'!CT14</f>
        <v>42887</v>
      </c>
      <c r="CM6" s="4">
        <f>'(Intermediate Computations)'!CU14</f>
        <v>42917</v>
      </c>
      <c r="CN6" s="4">
        <f>'(Intermediate Computations)'!CV14</f>
        <v>42948</v>
      </c>
      <c r="CO6" s="4">
        <f>'(Intermediate Computations)'!CW14</f>
        <v>42979</v>
      </c>
      <c r="CP6" s="4">
        <f>'(Intermediate Computations)'!CX14</f>
        <v>43009</v>
      </c>
      <c r="CQ6" s="4">
        <f>'(Intermediate Computations)'!CY14</f>
        <v>43040</v>
      </c>
      <c r="CR6" s="4">
        <f>'(Intermediate Computations)'!CZ14</f>
        <v>43070</v>
      </c>
      <c r="CS6" s="4">
        <f>'(Intermediate Computations)'!DB14</f>
        <v>43101</v>
      </c>
      <c r="CT6" s="4">
        <f>'(Intermediate Computations)'!DC14</f>
        <v>43132</v>
      </c>
      <c r="CU6" s="4">
        <f>'(Intermediate Computations)'!DD14</f>
        <v>43160</v>
      </c>
      <c r="CV6" s="4">
        <f>'(Intermediate Computations)'!DE14</f>
        <v>43191</v>
      </c>
      <c r="CW6" s="4">
        <f>'(Intermediate Computations)'!DF14</f>
        <v>43221</v>
      </c>
      <c r="CX6" s="4">
        <f>'(Intermediate Computations)'!DG14</f>
        <v>43252</v>
      </c>
      <c r="CY6" s="4">
        <f>'(Intermediate Computations)'!DH14</f>
        <v>43282</v>
      </c>
      <c r="CZ6" s="4">
        <f>'(Intermediate Computations)'!DI14</f>
        <v>43313</v>
      </c>
      <c r="DA6" s="4">
        <f>'(Intermediate Computations)'!DJ14</f>
        <v>43344</v>
      </c>
      <c r="DB6" s="4">
        <f>'(Intermediate Computations)'!DK14</f>
        <v>43374</v>
      </c>
      <c r="DC6" s="4">
        <f>'(Intermediate Computations)'!DL14</f>
        <v>43405</v>
      </c>
      <c r="DD6" s="4">
        <f>'(Intermediate Computations)'!DM14</f>
        <v>43435</v>
      </c>
      <c r="DE6" s="4">
        <f>'(Intermediate Computations)'!DO14</f>
        <v>43466</v>
      </c>
      <c r="DF6" s="4">
        <f>'(Intermediate Computations)'!DP14</f>
        <v>43497</v>
      </c>
      <c r="DG6" s="4">
        <f>'(Intermediate Computations)'!DQ14</f>
        <v>43525</v>
      </c>
      <c r="DH6" s="4">
        <f>'(Intermediate Computations)'!DR14</f>
        <v>43556</v>
      </c>
      <c r="DI6" s="4">
        <f>'(Intermediate Computations)'!DS14</f>
        <v>43586</v>
      </c>
      <c r="DJ6" s="4">
        <f>'(Intermediate Computations)'!DT14</f>
        <v>43617</v>
      </c>
      <c r="DK6" s="4">
        <f>'(Intermediate Computations)'!DU14</f>
        <v>43647</v>
      </c>
      <c r="DL6" s="4">
        <f>'(Intermediate Computations)'!DV14</f>
        <v>43678</v>
      </c>
      <c r="DM6" s="4">
        <f>'(Intermediate Computations)'!DW14</f>
        <v>43709</v>
      </c>
      <c r="DN6" s="4">
        <f>'(Intermediate Computations)'!DX14</f>
        <v>43739</v>
      </c>
      <c r="DO6" s="4">
        <f>'(Intermediate Computations)'!DY14</f>
        <v>43770</v>
      </c>
      <c r="DP6" s="4">
        <f>'(Intermediate Computations)'!DZ14</f>
        <v>43800</v>
      </c>
      <c r="DQ6" s="4">
        <f>'(Intermediate Computations)'!EB14</f>
        <v>43831</v>
      </c>
      <c r="DR6" s="4">
        <f>'(Intermediate Computations)'!EC14</f>
        <v>43862</v>
      </c>
      <c r="DS6" s="4">
        <f>'(Intermediate Computations)'!ED14</f>
        <v>43891</v>
      </c>
      <c r="DT6" s="4">
        <f>'(Intermediate Computations)'!EE14</f>
        <v>43922</v>
      </c>
      <c r="DU6" s="4">
        <f>'(Intermediate Computations)'!EF14</f>
        <v>43952</v>
      </c>
      <c r="DV6" s="4">
        <f>'(Intermediate Computations)'!EG14</f>
        <v>43983</v>
      </c>
      <c r="DW6" s="4">
        <f>'(Intermediate Computations)'!EH14</f>
        <v>44013</v>
      </c>
      <c r="DX6" s="4">
        <f>'(Intermediate Computations)'!EI14</f>
        <v>44044</v>
      </c>
      <c r="DY6" s="4">
        <f>'(Intermediate Computations)'!EJ14</f>
        <v>44075</v>
      </c>
      <c r="DZ6" s="4">
        <f>'(Intermediate Computations)'!EK14</f>
        <v>44105</v>
      </c>
      <c r="EA6" s="4">
        <f>'(Intermediate Computations)'!EL14</f>
        <v>44136</v>
      </c>
      <c r="EB6" s="4">
        <f>'(Intermediate Computations)'!EM14</f>
        <v>44166</v>
      </c>
    </row>
    <row r="7" spans="1:132" ht="12.75" customHeight="1" x14ac:dyDescent="0.2">
      <c r="A7" s="57">
        <f>Demand!B15</f>
        <v>728000</v>
      </c>
      <c r="B7" s="57">
        <f ca="1">Demand!C15</f>
        <v>728037.29786648613</v>
      </c>
      <c r="C7" s="57">
        <f ca="1">Demand!D15</f>
        <v>728056.14826905227</v>
      </c>
      <c r="D7" s="57">
        <f ca="1">Demand!E15</f>
        <v>728104.27679268376</v>
      </c>
      <c r="E7" s="57">
        <f ca="1">Demand!F15</f>
        <v>728083.867468599</v>
      </c>
      <c r="F7" s="57">
        <f ca="1">Demand!G15</f>
        <v>728163.00742718275</v>
      </c>
      <c r="G7" s="57">
        <f ca="1">Demand!H15</f>
        <v>728204.11891653342</v>
      </c>
      <c r="H7" s="57">
        <f ca="1">Demand!I15</f>
        <v>728285.10302619811</v>
      </c>
      <c r="I7" s="57">
        <f ca="1">Demand!J15</f>
        <v>728261.80456213723</v>
      </c>
      <c r="J7" s="57">
        <f ca="1">Demand!K15</f>
        <v>728284.97796363244</v>
      </c>
      <c r="K7" s="57">
        <f ca="1">Demand!L15</f>
        <v>728317.20933972311</v>
      </c>
      <c r="L7" s="57">
        <f ca="1">Demand!M15</f>
        <v>728315.26061949763</v>
      </c>
      <c r="M7" s="57">
        <f ca="1">Demand!O15</f>
        <v>728265.98572606919</v>
      </c>
      <c r="N7" s="57">
        <f ca="1">Demand!P15</f>
        <v>728260.11851221242</v>
      </c>
      <c r="O7" s="57">
        <f ca="1">Demand!Q15</f>
        <v>728209.50624857622</v>
      </c>
      <c r="P7" s="57">
        <f ca="1">Demand!R15</f>
        <v>728195.65536847257</v>
      </c>
      <c r="Q7" s="57">
        <f ca="1">Demand!S15</f>
        <v>728195.77275938448</v>
      </c>
      <c r="R7" s="57">
        <f ca="1">Demand!T15</f>
        <v>728231.66610992583</v>
      </c>
      <c r="S7" s="57">
        <f ca="1">Demand!U15</f>
        <v>728195.2507504496</v>
      </c>
      <c r="T7" s="57">
        <f ca="1">Demand!V15</f>
        <v>728213.71605909511</v>
      </c>
      <c r="U7" s="57">
        <f ca="1">Demand!W15</f>
        <v>728239.26893140248</v>
      </c>
      <c r="V7" s="57">
        <f ca="1">Demand!X15</f>
        <v>728211.77406678477</v>
      </c>
      <c r="W7" s="57">
        <f ca="1">Demand!Y15</f>
        <v>728193.71261201333</v>
      </c>
      <c r="X7" s="57">
        <f ca="1">Demand!Z15</f>
        <v>728170.25783932488</v>
      </c>
      <c r="Y7" s="57">
        <f ca="1">Demand!AB15</f>
        <v>728162.32555863832</v>
      </c>
      <c r="Z7" s="57">
        <f ca="1">Demand!AC15</f>
        <v>728120.99907298072</v>
      </c>
      <c r="AA7" s="57">
        <f ca="1">Demand!AD15</f>
        <v>728155.27192836767</v>
      </c>
      <c r="AB7" s="57">
        <f ca="1">Demand!AE15</f>
        <v>728249.32635996188</v>
      </c>
      <c r="AC7" s="57">
        <f ca="1">Demand!AF15</f>
        <v>728241.90403256298</v>
      </c>
      <c r="AD7" s="57">
        <f ca="1">Demand!AG15</f>
        <v>728186.64945713978</v>
      </c>
      <c r="AE7" s="57">
        <f ca="1">Demand!AH15</f>
        <v>728137.39026907156</v>
      </c>
      <c r="AF7" s="57">
        <f ca="1">Demand!AI15</f>
        <v>728171.58779593359</v>
      </c>
      <c r="AG7" s="57">
        <f ca="1">Demand!AJ15</f>
        <v>728131.31334441609</v>
      </c>
      <c r="AH7" s="57">
        <f ca="1">Demand!AK15</f>
        <v>728047.97413647303</v>
      </c>
      <c r="AI7" s="57">
        <f ca="1">Demand!AL15</f>
        <v>728096.55213402014</v>
      </c>
      <c r="AJ7" s="57">
        <f ca="1">Demand!AM15</f>
        <v>728123.80390661489</v>
      </c>
      <c r="AK7" s="57">
        <f ca="1">Demand!AO15</f>
        <v>728145.62887391599</v>
      </c>
      <c r="AL7" s="57">
        <f ca="1">Demand!AP15</f>
        <v>728161.86351524119</v>
      </c>
      <c r="AM7" s="57">
        <f ca="1">Demand!AQ15</f>
        <v>728224.68687921134</v>
      </c>
      <c r="AN7" s="57">
        <f ca="1">Demand!AR15</f>
        <v>728243.68182679417</v>
      </c>
      <c r="AO7" s="57">
        <f ca="1">Demand!AS15</f>
        <v>728206.55728586565</v>
      </c>
      <c r="AP7" s="57">
        <f ca="1">Demand!AT15</f>
        <v>728187.71371715004</v>
      </c>
      <c r="AQ7" s="57">
        <f ca="1">Demand!AU15</f>
        <v>728262.02841373626</v>
      </c>
      <c r="AR7" s="57">
        <f ca="1">Demand!AV15</f>
        <v>728243.87182571203</v>
      </c>
      <c r="AS7" s="57">
        <f ca="1">Demand!AW15</f>
        <v>728188.48415542138</v>
      </c>
      <c r="AT7" s="57">
        <f ca="1">Demand!AX15</f>
        <v>728117.63131669781</v>
      </c>
      <c r="AU7" s="57">
        <f ca="1">Demand!AY15</f>
        <v>728163.36163095839</v>
      </c>
      <c r="AV7" s="57">
        <f ca="1">Demand!AZ15</f>
        <v>728152.86462899065</v>
      </c>
      <c r="AW7" s="57">
        <f ca="1">Demand!BB15</f>
        <v>728151.06680543197</v>
      </c>
      <c r="AX7" s="57">
        <f ca="1">Demand!BC15</f>
        <v>728151.22429893247</v>
      </c>
      <c r="AY7" s="57">
        <f ca="1">Demand!BD15</f>
        <v>728175.42490001384</v>
      </c>
      <c r="AZ7" s="57">
        <f ca="1">Demand!BE15</f>
        <v>728217.68717621884</v>
      </c>
      <c r="BA7" s="57">
        <f ca="1">Demand!BF15</f>
        <v>728207.51906397077</v>
      </c>
      <c r="BB7" s="57">
        <f ca="1">Demand!BG15</f>
        <v>728287.75617404992</v>
      </c>
      <c r="BC7" s="57">
        <f ca="1">Demand!BH15</f>
        <v>728263.95714859001</v>
      </c>
      <c r="BD7" s="57">
        <f ca="1">Demand!BI15</f>
        <v>728243.42129995138</v>
      </c>
      <c r="BE7" s="57">
        <f ca="1">Demand!BJ15</f>
        <v>728199.69649597467</v>
      </c>
      <c r="BF7" s="57">
        <f ca="1">Demand!BK15</f>
        <v>728177.71478895238</v>
      </c>
      <c r="BG7" s="57">
        <f ca="1">Demand!BL15</f>
        <v>728211.30087003787</v>
      </c>
      <c r="BH7" s="57">
        <f ca="1">Demand!BM15</f>
        <v>728257.95934273454</v>
      </c>
      <c r="BI7" s="57">
        <f ca="1">Demand!BO15</f>
        <v>728261.92349317274</v>
      </c>
      <c r="BJ7" s="57">
        <f ca="1">Demand!BP15</f>
        <v>728254.36170338502</v>
      </c>
      <c r="BK7" s="57">
        <f ca="1">Demand!BQ15</f>
        <v>728205.79862436163</v>
      </c>
      <c r="BL7" s="57">
        <f ca="1">Demand!BR15</f>
        <v>728221.48719231086</v>
      </c>
      <c r="BM7" s="57">
        <f ca="1">Demand!BS15</f>
        <v>728170.51836972451</v>
      </c>
      <c r="BN7" s="57">
        <f ca="1">Demand!BT15</f>
        <v>728234.37451534299</v>
      </c>
      <c r="BO7" s="57">
        <f ca="1">Demand!BU15</f>
        <v>728229.71816097281</v>
      </c>
      <c r="BP7" s="57">
        <f ca="1">Demand!BV15</f>
        <v>728202.78996985452</v>
      </c>
      <c r="BQ7" s="57">
        <f ca="1">Demand!BW15</f>
        <v>728186.67242465005</v>
      </c>
      <c r="BR7" s="57">
        <f ca="1">Demand!BX15</f>
        <v>728207.07899072114</v>
      </c>
      <c r="BS7" s="57">
        <f ca="1">Demand!BY15</f>
        <v>728196.94574725698</v>
      </c>
      <c r="BT7" s="57">
        <f ca="1">Demand!BZ15</f>
        <v>728286.33055021975</v>
      </c>
      <c r="BU7" s="57">
        <f ca="1">Demand!CB15</f>
        <v>728363.0511366314</v>
      </c>
      <c r="BV7" s="57">
        <f ca="1">Demand!CC15</f>
        <v>728317.31660532334</v>
      </c>
      <c r="BW7" s="57">
        <f ca="1">Demand!CD15</f>
        <v>728339.84039702616</v>
      </c>
      <c r="BX7" s="57">
        <f ca="1">Demand!CE15</f>
        <v>728355.35297330027</v>
      </c>
      <c r="BY7" s="57">
        <f ca="1">Demand!CF15</f>
        <v>728408.65269345976</v>
      </c>
      <c r="BZ7" s="57">
        <f ca="1">Demand!CG15</f>
        <v>728436.98841622949</v>
      </c>
      <c r="CA7" s="57">
        <f ca="1">Demand!CH15</f>
        <v>728426.72350980586</v>
      </c>
      <c r="CB7" s="57">
        <f ca="1">Demand!CI15</f>
        <v>728379.97868867381</v>
      </c>
      <c r="CC7" s="57">
        <f ca="1">Demand!CJ15</f>
        <v>728328.58088694245</v>
      </c>
      <c r="CD7" s="57">
        <f ca="1">Demand!CK15</f>
        <v>728328.46190086473</v>
      </c>
      <c r="CE7" s="57">
        <f ca="1">Demand!CL15</f>
        <v>728381.05355829361</v>
      </c>
      <c r="CF7" s="57">
        <f ca="1">Demand!CM15</f>
        <v>728402.10733589588</v>
      </c>
      <c r="CG7" s="57">
        <f ca="1">Demand!CO15</f>
        <v>728487.22157448332</v>
      </c>
      <c r="CH7" s="57">
        <f ca="1">Demand!CP15</f>
        <v>728443.23202610598</v>
      </c>
      <c r="CI7" s="57">
        <f ca="1">Demand!CQ15</f>
        <v>728378.27998785768</v>
      </c>
      <c r="CJ7" s="57">
        <f ca="1">Demand!CR15</f>
        <v>728406.1153642307</v>
      </c>
      <c r="CK7" s="57">
        <f ca="1">Demand!CS15</f>
        <v>728452.07065705594</v>
      </c>
      <c r="CL7" s="57">
        <f ca="1">Demand!CT15</f>
        <v>728468.78577733436</v>
      </c>
      <c r="CM7" s="57">
        <f ca="1">Demand!CU15</f>
        <v>728505.14066061145</v>
      </c>
      <c r="CN7" s="57">
        <f ca="1">Demand!CV15</f>
        <v>728451.25864910148</v>
      </c>
      <c r="CO7" s="57">
        <f ca="1">Demand!CW15</f>
        <v>728367.83729504934</v>
      </c>
      <c r="CP7" s="57">
        <f ca="1">Demand!CX15</f>
        <v>728310.30577593576</v>
      </c>
      <c r="CQ7" s="57">
        <f ca="1">Demand!CY15</f>
        <v>728262.83271159802</v>
      </c>
      <c r="CR7" s="57">
        <f ca="1">Demand!CZ15</f>
        <v>728243.10477453121</v>
      </c>
      <c r="CS7" s="57">
        <f ca="1">Demand!DB15</f>
        <v>728225.40798548039</v>
      </c>
      <c r="CT7" s="57">
        <f ca="1">Demand!DC15</f>
        <v>728262.91746541986</v>
      </c>
      <c r="CU7" s="57">
        <f ca="1">Demand!DD15</f>
        <v>728273.49386638624</v>
      </c>
      <c r="CV7" s="57">
        <f ca="1">Demand!DE15</f>
        <v>728254.39767716487</v>
      </c>
      <c r="CW7" s="57">
        <f ca="1">Demand!DF15</f>
        <v>728269.28238947899</v>
      </c>
      <c r="CX7" s="57">
        <f ca="1">Demand!DG15</f>
        <v>728214.40392443223</v>
      </c>
      <c r="CY7" s="57">
        <f ca="1">Demand!DH15</f>
        <v>728222.99145653297</v>
      </c>
      <c r="CZ7" s="57">
        <f ca="1">Demand!DI15</f>
        <v>728222.55532215512</v>
      </c>
      <c r="DA7" s="57">
        <f ca="1">Demand!DJ15</f>
        <v>728144.03177754558</v>
      </c>
      <c r="DB7" s="57">
        <f ca="1">Demand!DK15</f>
        <v>728139.05447688117</v>
      </c>
      <c r="DC7" s="57">
        <f ca="1">Demand!DL15</f>
        <v>728179.10352957738</v>
      </c>
      <c r="DD7" s="57">
        <f ca="1">Demand!DM15</f>
        <v>728237.67028366402</v>
      </c>
      <c r="DE7" s="57">
        <f ca="1">Demand!DO15</f>
        <v>728241.40768880339</v>
      </c>
      <c r="DF7" s="57">
        <f ca="1">Demand!DP15</f>
        <v>728235.23069363041</v>
      </c>
      <c r="DG7" s="57">
        <f ca="1">Demand!DQ15</f>
        <v>728256.041462422</v>
      </c>
      <c r="DH7" s="57">
        <f ca="1">Demand!DR15</f>
        <v>728188.73829784326</v>
      </c>
      <c r="DI7" s="57">
        <f ca="1">Demand!DS15</f>
        <v>728148.23815791321</v>
      </c>
      <c r="DJ7" s="57">
        <f ca="1">Demand!DT15</f>
        <v>728164.07233329199</v>
      </c>
      <c r="DK7" s="57">
        <f ca="1">Demand!DU15</f>
        <v>728171.1542775844</v>
      </c>
      <c r="DL7" s="57">
        <f ca="1">Demand!DV15</f>
        <v>728083.6760110571</v>
      </c>
      <c r="DM7" s="57">
        <f ca="1">Demand!DW15</f>
        <v>728125.34983137459</v>
      </c>
      <c r="DN7" s="57">
        <f ca="1">Demand!DX15</f>
        <v>728112.20779825293</v>
      </c>
      <c r="DO7" s="57">
        <f ca="1">Demand!DY15</f>
        <v>728037.16725024092</v>
      </c>
      <c r="DP7" s="57">
        <f ca="1">Demand!DZ15</f>
        <v>728116.89567602798</v>
      </c>
      <c r="DQ7" s="57">
        <f ca="1">Demand!EB15</f>
        <v>728133.49954070302</v>
      </c>
      <c r="DR7" s="57">
        <f ca="1">Demand!EC15</f>
        <v>728152.28287796292</v>
      </c>
      <c r="DS7" s="57">
        <f ca="1">Demand!ED15</f>
        <v>728175.45705948293</v>
      </c>
      <c r="DT7" s="57">
        <f ca="1">Demand!EE15</f>
        <v>728135.85318270698</v>
      </c>
      <c r="DU7" s="57">
        <f ca="1">Demand!EF15</f>
        <v>728078.92199583258</v>
      </c>
      <c r="DV7" s="57">
        <f ca="1">Demand!EG15</f>
        <v>728122.4540337146</v>
      </c>
      <c r="DW7" s="57">
        <f ca="1">Demand!EH15</f>
        <v>728123.88455620827</v>
      </c>
      <c r="DX7" s="57">
        <f ca="1">Demand!EI15</f>
        <v>728143.73655557493</v>
      </c>
      <c r="DY7" s="57">
        <f ca="1">Demand!EJ15</f>
        <v>728205.5183888512</v>
      </c>
      <c r="DZ7" s="57">
        <f ca="1">Demand!EK15</f>
        <v>728159.5941933085</v>
      </c>
      <c r="EA7" s="57">
        <f ca="1">Demand!EL15</f>
        <v>728156.54897516919</v>
      </c>
      <c r="EB7" s="57">
        <f ca="1">Demand!EM15</f>
        <v>728210.03286267596</v>
      </c>
    </row>
    <row r="8" spans="1:132" ht="12.75" customHeight="1" x14ac:dyDescent="0.2">
      <c r="A8" s="4" t="str">
        <f>'(Intermediate Computations)'!B23</f>
        <v>MMM 2010</v>
      </c>
      <c r="B8" s="4" t="str">
        <f>'(Intermediate Computations)'!C23</f>
        <v>MMM 2010</v>
      </c>
      <c r="C8" s="4" t="str">
        <f>'(Intermediate Computations)'!D23</f>
        <v>MMM 2010</v>
      </c>
      <c r="D8" s="4" t="str">
        <f>'(Intermediate Computations)'!E23</f>
        <v>MMM 2010</v>
      </c>
      <c r="E8" s="4" t="str">
        <f>'(Intermediate Computations)'!F23</f>
        <v>MMM 2010</v>
      </c>
      <c r="F8" s="4" t="str">
        <f>'(Intermediate Computations)'!G23</f>
        <v>MMM 2010</v>
      </c>
      <c r="G8" s="4" t="str">
        <f>'(Intermediate Computations)'!H23</f>
        <v>MMM 2010</v>
      </c>
      <c r="H8" s="4" t="str">
        <f>'(Intermediate Computations)'!I23</f>
        <v>MMM 2010</v>
      </c>
      <c r="I8" s="4" t="str">
        <f>'(Intermediate Computations)'!J23</f>
        <v>MMM 2010</v>
      </c>
      <c r="J8" s="4" t="str">
        <f>'(Intermediate Computations)'!K23</f>
        <v>MMM 2010</v>
      </c>
      <c r="K8" s="4" t="str">
        <f>'(Intermediate Computations)'!L23</f>
        <v>MMM 2010</v>
      </c>
      <c r="L8" s="4" t="str">
        <f>'(Intermediate Computations)'!M23</f>
        <v>MMM 2010</v>
      </c>
      <c r="M8" s="4" t="str">
        <f>'(Intermediate Computations)'!O23</f>
        <v>MMM 2011</v>
      </c>
      <c r="N8" s="4" t="str">
        <f>'(Intermediate Computations)'!P23</f>
        <v>MMM 2011</v>
      </c>
      <c r="O8" s="4" t="str">
        <f>'(Intermediate Computations)'!Q23</f>
        <v>MMM 2011</v>
      </c>
      <c r="P8" s="4" t="str">
        <f>'(Intermediate Computations)'!R23</f>
        <v>MMM 2011</v>
      </c>
      <c r="Q8" s="4" t="str">
        <f>'(Intermediate Computations)'!S23</f>
        <v>MMM 2011</v>
      </c>
      <c r="R8" s="4" t="str">
        <f>'(Intermediate Computations)'!T23</f>
        <v>MMM 2011</v>
      </c>
      <c r="S8" s="4" t="str">
        <f>'(Intermediate Computations)'!U23</f>
        <v>MMM 2011</v>
      </c>
      <c r="T8" s="4" t="str">
        <f>'(Intermediate Computations)'!V23</f>
        <v>MMM 2011</v>
      </c>
      <c r="U8" s="4" t="str">
        <f>'(Intermediate Computations)'!W23</f>
        <v>MMM 2011</v>
      </c>
      <c r="V8" s="4" t="str">
        <f>'(Intermediate Computations)'!X23</f>
        <v>MMM 2011</v>
      </c>
      <c r="W8" s="4" t="str">
        <f>'(Intermediate Computations)'!Y23</f>
        <v>MMM 2011</v>
      </c>
      <c r="X8" s="4" t="str">
        <f>'(Intermediate Computations)'!Z23</f>
        <v>MMM 2011</v>
      </c>
      <c r="Y8" s="4" t="str">
        <f>'(Intermediate Computations)'!AB23</f>
        <v>MMM 2012</v>
      </c>
      <c r="Z8" s="4" t="str">
        <f>'(Intermediate Computations)'!AC23</f>
        <v>MMM 2012</v>
      </c>
      <c r="AA8" s="4" t="str">
        <f>'(Intermediate Computations)'!AD23</f>
        <v>MMM 2012</v>
      </c>
      <c r="AB8" s="4" t="str">
        <f>'(Intermediate Computations)'!AE23</f>
        <v>MMM 2012</v>
      </c>
      <c r="AC8" s="4" t="str">
        <f>'(Intermediate Computations)'!AF23</f>
        <v>MMM 2012</v>
      </c>
      <c r="AD8" s="4" t="str">
        <f>'(Intermediate Computations)'!AG23</f>
        <v>MMM 2012</v>
      </c>
      <c r="AE8" s="4" t="str">
        <f>'(Intermediate Computations)'!AH23</f>
        <v>MMM 2012</v>
      </c>
      <c r="AF8" s="4" t="str">
        <f>'(Intermediate Computations)'!AI23</f>
        <v>MMM 2012</v>
      </c>
      <c r="AG8" s="4" t="str">
        <f>'(Intermediate Computations)'!AJ23</f>
        <v>MMM 2012</v>
      </c>
      <c r="AH8" s="4" t="str">
        <f>'(Intermediate Computations)'!AK23</f>
        <v>MMM 2012</v>
      </c>
      <c r="AI8" s="4" t="str">
        <f>'(Intermediate Computations)'!AL23</f>
        <v>MMM 2012</v>
      </c>
      <c r="AJ8" s="4" t="str">
        <f>'(Intermediate Computations)'!AM23</f>
        <v>MMM 2012</v>
      </c>
      <c r="AK8" s="4" t="str">
        <f>'(Intermediate Computations)'!AO23</f>
        <v>MMM 2013</v>
      </c>
      <c r="AL8" s="4" t="str">
        <f>'(Intermediate Computations)'!AP23</f>
        <v>MMM 2013</v>
      </c>
      <c r="AM8" s="4" t="str">
        <f>'(Intermediate Computations)'!AQ23</f>
        <v>MMM 2013</v>
      </c>
      <c r="AN8" s="4" t="str">
        <f>'(Intermediate Computations)'!AR23</f>
        <v>MMM 2013</v>
      </c>
      <c r="AO8" s="4" t="str">
        <f>'(Intermediate Computations)'!AS23</f>
        <v>MMM 2013</v>
      </c>
      <c r="AP8" s="4" t="str">
        <f>'(Intermediate Computations)'!AT23</f>
        <v>MMM 2013</v>
      </c>
      <c r="AQ8" s="4" t="str">
        <f>'(Intermediate Computations)'!AU23</f>
        <v>MMM 2013</v>
      </c>
      <c r="AR8" s="4" t="str">
        <f>'(Intermediate Computations)'!AV23</f>
        <v>MMM 2013</v>
      </c>
      <c r="AS8" s="4" t="str">
        <f>'(Intermediate Computations)'!AW23</f>
        <v>MMM 2013</v>
      </c>
      <c r="AT8" s="4" t="str">
        <f>'(Intermediate Computations)'!AX23</f>
        <v>MMM 2013</v>
      </c>
      <c r="AU8" s="4" t="str">
        <f>'(Intermediate Computations)'!AY23</f>
        <v>MMM 2013</v>
      </c>
      <c r="AV8" s="4" t="str">
        <f>'(Intermediate Computations)'!AZ23</f>
        <v>MMM 2013</v>
      </c>
      <c r="AW8" s="4" t="str">
        <f>'(Intermediate Computations)'!BB23</f>
        <v>MMM 2014</v>
      </c>
      <c r="AX8" s="4" t="str">
        <f>'(Intermediate Computations)'!BC23</f>
        <v>MMM 2014</v>
      </c>
      <c r="AY8" s="4" t="str">
        <f>'(Intermediate Computations)'!BD23</f>
        <v>MMM 2014</v>
      </c>
      <c r="AZ8" s="4" t="str">
        <f>'(Intermediate Computations)'!BE23</f>
        <v>MMM 2014</v>
      </c>
      <c r="BA8" s="4" t="str">
        <f>'(Intermediate Computations)'!BF23</f>
        <v>MMM 2014</v>
      </c>
      <c r="BB8" s="4" t="str">
        <f>'(Intermediate Computations)'!BG23</f>
        <v>MMM 2014</v>
      </c>
      <c r="BC8" s="4" t="str">
        <f>'(Intermediate Computations)'!BH23</f>
        <v>MMM 2014</v>
      </c>
      <c r="BD8" s="4" t="str">
        <f>'(Intermediate Computations)'!BI23</f>
        <v>MMM 2014</v>
      </c>
      <c r="BE8" s="4" t="str">
        <f>'(Intermediate Computations)'!BJ23</f>
        <v>MMM 2014</v>
      </c>
      <c r="BF8" s="4" t="str">
        <f>'(Intermediate Computations)'!BK23</f>
        <v>MMM 2014</v>
      </c>
      <c r="BG8" s="4" t="str">
        <f>'(Intermediate Computations)'!BL23</f>
        <v>MMM 2014</v>
      </c>
      <c r="BH8" s="4" t="str">
        <f>'(Intermediate Computations)'!BM23</f>
        <v>MMM 2014</v>
      </c>
      <c r="BI8" s="4" t="str">
        <f>'(Intermediate Computations)'!BO23</f>
        <v>MMM 2015</v>
      </c>
      <c r="BJ8" s="4" t="str">
        <f>'(Intermediate Computations)'!BP23</f>
        <v>MMM 2015</v>
      </c>
      <c r="BK8" s="4" t="str">
        <f>'(Intermediate Computations)'!BQ23</f>
        <v>MMM 2015</v>
      </c>
      <c r="BL8" s="4" t="str">
        <f>'(Intermediate Computations)'!BR23</f>
        <v>MMM 2015</v>
      </c>
      <c r="BM8" s="4" t="str">
        <f>'(Intermediate Computations)'!BS23</f>
        <v>MMM 2015</v>
      </c>
      <c r="BN8" s="4" t="str">
        <f>'(Intermediate Computations)'!BT23</f>
        <v>MMM 2015</v>
      </c>
      <c r="BO8" s="4" t="str">
        <f>'(Intermediate Computations)'!BU23</f>
        <v>MMM 2015</v>
      </c>
      <c r="BP8" s="4" t="str">
        <f>'(Intermediate Computations)'!BV23</f>
        <v>MMM 2015</v>
      </c>
      <c r="BQ8" s="4" t="str">
        <f>'(Intermediate Computations)'!BW23</f>
        <v>MMM 2015</v>
      </c>
      <c r="BR8" s="4" t="str">
        <f>'(Intermediate Computations)'!BX23</f>
        <v>MMM 2015</v>
      </c>
      <c r="BS8" s="4" t="str">
        <f>'(Intermediate Computations)'!BY23</f>
        <v>MMM 2015</v>
      </c>
      <c r="BT8" s="4" t="str">
        <f>'(Intermediate Computations)'!BZ23</f>
        <v>MMM 2015</v>
      </c>
      <c r="BU8" s="4" t="str">
        <f>'(Intermediate Computations)'!CB23</f>
        <v>MMM 2016</v>
      </c>
      <c r="BV8" s="4" t="str">
        <f>'(Intermediate Computations)'!CC23</f>
        <v>MMM 2016</v>
      </c>
      <c r="BW8" s="4" t="str">
        <f>'(Intermediate Computations)'!CD23</f>
        <v>MMM 2016</v>
      </c>
      <c r="BX8" s="4" t="str">
        <f>'(Intermediate Computations)'!CE23</f>
        <v>MMM 2016</v>
      </c>
      <c r="BY8" s="4" t="str">
        <f>'(Intermediate Computations)'!CF23</f>
        <v>MMM 2016</v>
      </c>
      <c r="BZ8" s="4" t="str">
        <f>'(Intermediate Computations)'!CG23</f>
        <v>MMM 2016</v>
      </c>
      <c r="CA8" s="4" t="str">
        <f>'(Intermediate Computations)'!CH23</f>
        <v>MMM 2016</v>
      </c>
      <c r="CB8" s="4" t="str">
        <f>'(Intermediate Computations)'!CI23</f>
        <v>MMM 2016</v>
      </c>
      <c r="CC8" s="4" t="str">
        <f>'(Intermediate Computations)'!CJ23</f>
        <v>MMM 2016</v>
      </c>
      <c r="CD8" s="4" t="str">
        <f>'(Intermediate Computations)'!CK23</f>
        <v>MMM 2016</v>
      </c>
      <c r="CE8" s="4" t="str">
        <f>'(Intermediate Computations)'!CL23</f>
        <v>MMM 2016</v>
      </c>
      <c r="CF8" s="4" t="str">
        <f>'(Intermediate Computations)'!CM23</f>
        <v>MMM 2016</v>
      </c>
      <c r="CG8" s="4" t="str">
        <f>'(Intermediate Computations)'!CO23</f>
        <v>MMM 2017</v>
      </c>
      <c r="CH8" s="4" t="str">
        <f>'(Intermediate Computations)'!CP23</f>
        <v>MMM 2017</v>
      </c>
      <c r="CI8" s="4" t="str">
        <f>'(Intermediate Computations)'!CQ23</f>
        <v>MMM 2017</v>
      </c>
      <c r="CJ8" s="4" t="str">
        <f>'(Intermediate Computations)'!CR23</f>
        <v>MMM 2017</v>
      </c>
      <c r="CK8" s="4" t="str">
        <f>'(Intermediate Computations)'!CS23</f>
        <v>MMM 2017</v>
      </c>
      <c r="CL8" s="4" t="str">
        <f>'(Intermediate Computations)'!CT23</f>
        <v>MMM 2017</v>
      </c>
      <c r="CM8" s="4" t="str">
        <f>'(Intermediate Computations)'!CU23</f>
        <v>MMM 2017</v>
      </c>
      <c r="CN8" s="4" t="str">
        <f>'(Intermediate Computations)'!CV23</f>
        <v>MMM 2017</v>
      </c>
      <c r="CO8" s="4" t="str">
        <f>'(Intermediate Computations)'!CW23</f>
        <v>MMM 2017</v>
      </c>
      <c r="CP8" s="4" t="str">
        <f>'(Intermediate Computations)'!CX23</f>
        <v>MMM 2017</v>
      </c>
      <c r="CQ8" s="4" t="str">
        <f>'(Intermediate Computations)'!CY23</f>
        <v>MMM 2017</v>
      </c>
      <c r="CR8" s="4" t="str">
        <f>'(Intermediate Computations)'!CZ23</f>
        <v>MMM 2017</v>
      </c>
      <c r="CS8" s="4" t="str">
        <f>'(Intermediate Computations)'!DB23</f>
        <v>MMM 2018</v>
      </c>
      <c r="CT8" s="4" t="str">
        <f>'(Intermediate Computations)'!DC23</f>
        <v>MMM 2018</v>
      </c>
      <c r="CU8" s="4" t="str">
        <f>'(Intermediate Computations)'!DD23</f>
        <v>MMM 2018</v>
      </c>
      <c r="CV8" s="4" t="str">
        <f>'(Intermediate Computations)'!DE23</f>
        <v>MMM 2018</v>
      </c>
      <c r="CW8" s="4" t="str">
        <f>'(Intermediate Computations)'!DF23</f>
        <v>MMM 2018</v>
      </c>
      <c r="CX8" s="4" t="str">
        <f>'(Intermediate Computations)'!DG23</f>
        <v>MMM 2018</v>
      </c>
      <c r="CY8" s="4" t="str">
        <f>'(Intermediate Computations)'!DH23</f>
        <v>MMM 2018</v>
      </c>
      <c r="CZ8" s="4" t="str">
        <f>'(Intermediate Computations)'!DI23</f>
        <v>MMM 2018</v>
      </c>
      <c r="DA8" s="4" t="str">
        <f>'(Intermediate Computations)'!DJ23</f>
        <v>MMM 2018</v>
      </c>
      <c r="DB8" s="4" t="str">
        <f>'(Intermediate Computations)'!DK23</f>
        <v>MMM 2018</v>
      </c>
      <c r="DC8" s="4" t="str">
        <f>'(Intermediate Computations)'!DL23</f>
        <v>MMM 2018</v>
      </c>
      <c r="DD8" s="4" t="str">
        <f>'(Intermediate Computations)'!DM23</f>
        <v>MMM 2018</v>
      </c>
      <c r="DE8" s="4" t="str">
        <f>'(Intermediate Computations)'!DO23</f>
        <v>MMM 2019</v>
      </c>
      <c r="DF8" s="4" t="str">
        <f>'(Intermediate Computations)'!DP23</f>
        <v>MMM 2019</v>
      </c>
      <c r="DG8" s="4" t="str">
        <f>'(Intermediate Computations)'!DQ23</f>
        <v>MMM 2019</v>
      </c>
      <c r="DH8" s="4" t="str">
        <f>'(Intermediate Computations)'!DR23</f>
        <v>MMM 2019</v>
      </c>
      <c r="DI8" s="4" t="str">
        <f>'(Intermediate Computations)'!DS23</f>
        <v>MMM 2019</v>
      </c>
      <c r="DJ8" s="4" t="str">
        <f>'(Intermediate Computations)'!DT23</f>
        <v>MMM 2019</v>
      </c>
      <c r="DK8" s="4" t="str">
        <f>'(Intermediate Computations)'!DU23</f>
        <v>MMM 2019</v>
      </c>
      <c r="DL8" s="4" t="str">
        <f>'(Intermediate Computations)'!DV23</f>
        <v>MMM 2019</v>
      </c>
      <c r="DM8" s="4" t="str">
        <f>'(Intermediate Computations)'!DW23</f>
        <v>MMM 2019</v>
      </c>
      <c r="DN8" s="4" t="str">
        <f>'(Intermediate Computations)'!DX23</f>
        <v>MMM 2019</v>
      </c>
      <c r="DO8" s="4" t="str">
        <f>'(Intermediate Computations)'!DY23</f>
        <v>MMM 2019</v>
      </c>
      <c r="DP8" s="4" t="str">
        <f>'(Intermediate Computations)'!DZ23</f>
        <v>MMM 2019</v>
      </c>
      <c r="DQ8" s="4" t="str">
        <f>'(Intermediate Computations)'!EB23</f>
        <v>MMM 2020</v>
      </c>
      <c r="DR8" s="4" t="str">
        <f>'(Intermediate Computations)'!EC23</f>
        <v>MMM 2020</v>
      </c>
      <c r="DS8" s="4" t="str">
        <f>'(Intermediate Computations)'!ED23</f>
        <v>MMM 2020</v>
      </c>
      <c r="DT8" s="4" t="str">
        <f>'(Intermediate Computations)'!EE23</f>
        <v>MMM 2020</v>
      </c>
      <c r="DU8" s="4" t="str">
        <f>'(Intermediate Computations)'!EF23</f>
        <v>MMM 2020</v>
      </c>
      <c r="DV8" s="4" t="str">
        <f>'(Intermediate Computations)'!EG23</f>
        <v>MMM 2020</v>
      </c>
      <c r="DW8" s="4" t="str">
        <f>'(Intermediate Computations)'!EH23</f>
        <v>MMM 2020</v>
      </c>
      <c r="DX8" s="4" t="str">
        <f>'(Intermediate Computations)'!EI23</f>
        <v>MMM 2020</v>
      </c>
      <c r="DY8" s="4" t="str">
        <f>'(Intermediate Computations)'!EJ23</f>
        <v>MMM 2020</v>
      </c>
      <c r="DZ8" s="4" t="str">
        <f>'(Intermediate Computations)'!EK23</f>
        <v>MMM 2020</v>
      </c>
      <c r="EA8" s="4" t="str">
        <f>'(Intermediate Computations)'!EL23</f>
        <v>MMM 2020</v>
      </c>
      <c r="EB8" s="4" t="str">
        <f>'(Intermediate Computations)'!EM23</f>
        <v>MMM 2020</v>
      </c>
    </row>
    <row r="9" spans="1:132" ht="12.75" customHeight="1" x14ac:dyDescent="0.2">
      <c r="A9" s="4">
        <f>'(Intermediate Computations)'!B20</f>
        <v>40179</v>
      </c>
      <c r="B9" s="4">
        <f>'(Intermediate Computations)'!C20</f>
        <v>40210</v>
      </c>
      <c r="C9" s="4">
        <f>'(Intermediate Computations)'!D20</f>
        <v>40238</v>
      </c>
      <c r="D9" s="4">
        <f>'(Intermediate Computations)'!E20</f>
        <v>40269</v>
      </c>
      <c r="E9" s="4">
        <f>'(Intermediate Computations)'!F20</f>
        <v>40299</v>
      </c>
      <c r="F9" s="4">
        <f>'(Intermediate Computations)'!G20</f>
        <v>40330</v>
      </c>
      <c r="G9" s="4">
        <f>'(Intermediate Computations)'!H20</f>
        <v>40360</v>
      </c>
      <c r="H9" s="4">
        <f>'(Intermediate Computations)'!I20</f>
        <v>40391</v>
      </c>
      <c r="I9" s="4">
        <f>'(Intermediate Computations)'!J20</f>
        <v>40422</v>
      </c>
      <c r="J9" s="4">
        <f>'(Intermediate Computations)'!K20</f>
        <v>40452</v>
      </c>
      <c r="K9" s="4">
        <f>'(Intermediate Computations)'!L20</f>
        <v>40483</v>
      </c>
      <c r="L9" s="4">
        <f>'(Intermediate Computations)'!M20</f>
        <v>40513</v>
      </c>
      <c r="M9" s="4">
        <f>'(Intermediate Computations)'!O20</f>
        <v>40544</v>
      </c>
      <c r="N9" s="4">
        <f>'(Intermediate Computations)'!P20</f>
        <v>40575</v>
      </c>
      <c r="O9" s="4">
        <f>'(Intermediate Computations)'!Q20</f>
        <v>40603</v>
      </c>
      <c r="P9" s="4">
        <f>'(Intermediate Computations)'!R20</f>
        <v>40634</v>
      </c>
      <c r="Q9" s="4">
        <f>'(Intermediate Computations)'!S20</f>
        <v>40664</v>
      </c>
      <c r="R9" s="4">
        <f>'(Intermediate Computations)'!T20</f>
        <v>40695</v>
      </c>
      <c r="S9" s="4">
        <f>'(Intermediate Computations)'!U20</f>
        <v>40725</v>
      </c>
      <c r="T9" s="4">
        <f>'(Intermediate Computations)'!V20</f>
        <v>40756</v>
      </c>
      <c r="U9" s="4">
        <f>'(Intermediate Computations)'!W20</f>
        <v>40787</v>
      </c>
      <c r="V9" s="4">
        <f>'(Intermediate Computations)'!X20</f>
        <v>40817</v>
      </c>
      <c r="W9" s="4">
        <f>'(Intermediate Computations)'!Y20</f>
        <v>40848</v>
      </c>
      <c r="X9" s="4">
        <f>'(Intermediate Computations)'!Z20</f>
        <v>40878</v>
      </c>
      <c r="Y9" s="4">
        <f>'(Intermediate Computations)'!AB20</f>
        <v>40909</v>
      </c>
      <c r="Z9" s="4">
        <f>'(Intermediate Computations)'!AC20</f>
        <v>40940</v>
      </c>
      <c r="AA9" s="4">
        <f>'(Intermediate Computations)'!AD20</f>
        <v>40969</v>
      </c>
      <c r="AB9" s="4">
        <f>'(Intermediate Computations)'!AE20</f>
        <v>41000</v>
      </c>
      <c r="AC9" s="4">
        <f>'(Intermediate Computations)'!AF20</f>
        <v>41030</v>
      </c>
      <c r="AD9" s="4">
        <f>'(Intermediate Computations)'!AG20</f>
        <v>41061</v>
      </c>
      <c r="AE9" s="4">
        <f>'(Intermediate Computations)'!AH20</f>
        <v>41091</v>
      </c>
      <c r="AF9" s="4">
        <f>'(Intermediate Computations)'!AI20</f>
        <v>41122</v>
      </c>
      <c r="AG9" s="4">
        <f>'(Intermediate Computations)'!AJ20</f>
        <v>41153</v>
      </c>
      <c r="AH9" s="4">
        <f>'(Intermediate Computations)'!AK20</f>
        <v>41183</v>
      </c>
      <c r="AI9" s="4">
        <f>'(Intermediate Computations)'!AL20</f>
        <v>41214</v>
      </c>
      <c r="AJ9" s="4">
        <f>'(Intermediate Computations)'!AM20</f>
        <v>41244</v>
      </c>
      <c r="AK9" s="4">
        <f>'(Intermediate Computations)'!AO20</f>
        <v>41275</v>
      </c>
      <c r="AL9" s="4">
        <f>'(Intermediate Computations)'!AP20</f>
        <v>41306</v>
      </c>
      <c r="AM9" s="4">
        <f>'(Intermediate Computations)'!AQ20</f>
        <v>41334</v>
      </c>
      <c r="AN9" s="4">
        <f>'(Intermediate Computations)'!AR20</f>
        <v>41365</v>
      </c>
      <c r="AO9" s="4">
        <f>'(Intermediate Computations)'!AS20</f>
        <v>41395</v>
      </c>
      <c r="AP9" s="4">
        <f>'(Intermediate Computations)'!AT20</f>
        <v>41426</v>
      </c>
      <c r="AQ9" s="4">
        <f>'(Intermediate Computations)'!AU20</f>
        <v>41456</v>
      </c>
      <c r="AR9" s="4">
        <f>'(Intermediate Computations)'!AV20</f>
        <v>41487</v>
      </c>
      <c r="AS9" s="4">
        <f>'(Intermediate Computations)'!AW20</f>
        <v>41518</v>
      </c>
      <c r="AT9" s="4">
        <f>'(Intermediate Computations)'!AX20</f>
        <v>41548</v>
      </c>
      <c r="AU9" s="4">
        <f>'(Intermediate Computations)'!AY20</f>
        <v>41579</v>
      </c>
      <c r="AV9" s="4">
        <f>'(Intermediate Computations)'!AZ20</f>
        <v>41609</v>
      </c>
      <c r="AW9" s="4">
        <f>'(Intermediate Computations)'!BB20</f>
        <v>41640</v>
      </c>
      <c r="AX9" s="4">
        <f>'(Intermediate Computations)'!BC20</f>
        <v>41671</v>
      </c>
      <c r="AY9" s="4">
        <f>'(Intermediate Computations)'!BD20</f>
        <v>41699</v>
      </c>
      <c r="AZ9" s="4">
        <f>'(Intermediate Computations)'!BE20</f>
        <v>41730</v>
      </c>
      <c r="BA9" s="4">
        <f>'(Intermediate Computations)'!BF20</f>
        <v>41760</v>
      </c>
      <c r="BB9" s="4">
        <f>'(Intermediate Computations)'!BG20</f>
        <v>41791</v>
      </c>
      <c r="BC9" s="4">
        <f>'(Intermediate Computations)'!BH20</f>
        <v>41821</v>
      </c>
      <c r="BD9" s="4">
        <f>'(Intermediate Computations)'!BI20</f>
        <v>41852</v>
      </c>
      <c r="BE9" s="4">
        <f>'(Intermediate Computations)'!BJ20</f>
        <v>41883</v>
      </c>
      <c r="BF9" s="4">
        <f>'(Intermediate Computations)'!BK20</f>
        <v>41913</v>
      </c>
      <c r="BG9" s="4">
        <f>'(Intermediate Computations)'!BL20</f>
        <v>41944</v>
      </c>
      <c r="BH9" s="4">
        <f>'(Intermediate Computations)'!BM20</f>
        <v>41974</v>
      </c>
      <c r="BI9" s="4">
        <f>'(Intermediate Computations)'!BO20</f>
        <v>42005</v>
      </c>
      <c r="BJ9" s="4">
        <f>'(Intermediate Computations)'!BP20</f>
        <v>42036</v>
      </c>
      <c r="BK9" s="4">
        <f>'(Intermediate Computations)'!BQ20</f>
        <v>42064</v>
      </c>
      <c r="BL9" s="4">
        <f>'(Intermediate Computations)'!BR20</f>
        <v>42095</v>
      </c>
      <c r="BM9" s="4">
        <f>'(Intermediate Computations)'!BS20</f>
        <v>42125</v>
      </c>
      <c r="BN9" s="4">
        <f>'(Intermediate Computations)'!BT20</f>
        <v>42156</v>
      </c>
      <c r="BO9" s="4">
        <f>'(Intermediate Computations)'!BU20</f>
        <v>42186</v>
      </c>
      <c r="BP9" s="4">
        <f>'(Intermediate Computations)'!BV20</f>
        <v>42217</v>
      </c>
      <c r="BQ9" s="4">
        <f>'(Intermediate Computations)'!BW20</f>
        <v>42248</v>
      </c>
      <c r="BR9" s="4">
        <f>'(Intermediate Computations)'!BX20</f>
        <v>42278</v>
      </c>
      <c r="BS9" s="4">
        <f>'(Intermediate Computations)'!BY20</f>
        <v>42309</v>
      </c>
      <c r="BT9" s="4">
        <f>'(Intermediate Computations)'!BZ20</f>
        <v>42339</v>
      </c>
      <c r="BU9" s="4">
        <f>'(Intermediate Computations)'!CB20</f>
        <v>42370</v>
      </c>
      <c r="BV9" s="4">
        <f>'(Intermediate Computations)'!CC20</f>
        <v>42401</v>
      </c>
      <c r="BW9" s="4">
        <f>'(Intermediate Computations)'!CD20</f>
        <v>42430</v>
      </c>
      <c r="BX9" s="4">
        <f>'(Intermediate Computations)'!CE20</f>
        <v>42461</v>
      </c>
      <c r="BY9" s="4">
        <f>'(Intermediate Computations)'!CF20</f>
        <v>42491</v>
      </c>
      <c r="BZ9" s="4">
        <f>'(Intermediate Computations)'!CG20</f>
        <v>42522</v>
      </c>
      <c r="CA9" s="4">
        <f>'(Intermediate Computations)'!CH20</f>
        <v>42552</v>
      </c>
      <c r="CB9" s="4">
        <f>'(Intermediate Computations)'!CI20</f>
        <v>42583</v>
      </c>
      <c r="CC9" s="4">
        <f>'(Intermediate Computations)'!CJ20</f>
        <v>42614</v>
      </c>
      <c r="CD9" s="4">
        <f>'(Intermediate Computations)'!CK20</f>
        <v>42644</v>
      </c>
      <c r="CE9" s="4">
        <f>'(Intermediate Computations)'!CL20</f>
        <v>42675</v>
      </c>
      <c r="CF9" s="4">
        <f>'(Intermediate Computations)'!CM20</f>
        <v>42705</v>
      </c>
      <c r="CG9" s="4">
        <f>'(Intermediate Computations)'!CO20</f>
        <v>42736</v>
      </c>
      <c r="CH9" s="4">
        <f>'(Intermediate Computations)'!CP20</f>
        <v>42767</v>
      </c>
      <c r="CI9" s="4">
        <f>'(Intermediate Computations)'!CQ20</f>
        <v>42795</v>
      </c>
      <c r="CJ9" s="4">
        <f>'(Intermediate Computations)'!CR20</f>
        <v>42826</v>
      </c>
      <c r="CK9" s="4">
        <f>'(Intermediate Computations)'!CS20</f>
        <v>42856</v>
      </c>
      <c r="CL9" s="4">
        <f>'(Intermediate Computations)'!CT20</f>
        <v>42887</v>
      </c>
      <c r="CM9" s="4">
        <f>'(Intermediate Computations)'!CU20</f>
        <v>42917</v>
      </c>
      <c r="CN9" s="4">
        <f>'(Intermediate Computations)'!CV20</f>
        <v>42948</v>
      </c>
      <c r="CO9" s="4">
        <f>'(Intermediate Computations)'!CW20</f>
        <v>42979</v>
      </c>
      <c r="CP9" s="4">
        <f>'(Intermediate Computations)'!CX20</f>
        <v>43009</v>
      </c>
      <c r="CQ9" s="4">
        <f>'(Intermediate Computations)'!CY20</f>
        <v>43040</v>
      </c>
      <c r="CR9" s="4">
        <f>'(Intermediate Computations)'!CZ20</f>
        <v>43070</v>
      </c>
      <c r="CS9" s="4">
        <f>'(Intermediate Computations)'!DB20</f>
        <v>43101</v>
      </c>
      <c r="CT9" s="4">
        <f>'(Intermediate Computations)'!DC20</f>
        <v>43132</v>
      </c>
      <c r="CU9" s="4">
        <f>'(Intermediate Computations)'!DD20</f>
        <v>43160</v>
      </c>
      <c r="CV9" s="4">
        <f>'(Intermediate Computations)'!DE20</f>
        <v>43191</v>
      </c>
      <c r="CW9" s="4">
        <f>'(Intermediate Computations)'!DF20</f>
        <v>43221</v>
      </c>
      <c r="CX9" s="4">
        <f>'(Intermediate Computations)'!DG20</f>
        <v>43252</v>
      </c>
      <c r="CY9" s="4">
        <f>'(Intermediate Computations)'!DH20</f>
        <v>43282</v>
      </c>
      <c r="CZ9" s="4">
        <f>'(Intermediate Computations)'!DI20</f>
        <v>43313</v>
      </c>
      <c r="DA9" s="4">
        <f>'(Intermediate Computations)'!DJ20</f>
        <v>43344</v>
      </c>
      <c r="DB9" s="4">
        <f>'(Intermediate Computations)'!DK20</f>
        <v>43374</v>
      </c>
      <c r="DC9" s="4">
        <f>'(Intermediate Computations)'!DL20</f>
        <v>43405</v>
      </c>
      <c r="DD9" s="4">
        <f>'(Intermediate Computations)'!DM20</f>
        <v>43435</v>
      </c>
      <c r="DE9" s="4">
        <f>'(Intermediate Computations)'!DO20</f>
        <v>43466</v>
      </c>
      <c r="DF9" s="4">
        <f>'(Intermediate Computations)'!DP20</f>
        <v>43497</v>
      </c>
      <c r="DG9" s="4">
        <f>'(Intermediate Computations)'!DQ20</f>
        <v>43525</v>
      </c>
      <c r="DH9" s="4">
        <f>'(Intermediate Computations)'!DR20</f>
        <v>43556</v>
      </c>
      <c r="DI9" s="4">
        <f>'(Intermediate Computations)'!DS20</f>
        <v>43586</v>
      </c>
      <c r="DJ9" s="4">
        <f>'(Intermediate Computations)'!DT20</f>
        <v>43617</v>
      </c>
      <c r="DK9" s="4">
        <f>'(Intermediate Computations)'!DU20</f>
        <v>43647</v>
      </c>
      <c r="DL9" s="4">
        <f>'(Intermediate Computations)'!DV20</f>
        <v>43678</v>
      </c>
      <c r="DM9" s="4">
        <f>'(Intermediate Computations)'!DW20</f>
        <v>43709</v>
      </c>
      <c r="DN9" s="4">
        <f>'(Intermediate Computations)'!DX20</f>
        <v>43739</v>
      </c>
      <c r="DO9" s="4">
        <f>'(Intermediate Computations)'!DY20</f>
        <v>43770</v>
      </c>
      <c r="DP9" s="4">
        <f>'(Intermediate Computations)'!DZ20</f>
        <v>43800</v>
      </c>
      <c r="DQ9" s="4">
        <f>'(Intermediate Computations)'!EB20</f>
        <v>43831</v>
      </c>
      <c r="DR9" s="4">
        <f>'(Intermediate Computations)'!EC20</f>
        <v>43862</v>
      </c>
      <c r="DS9" s="4">
        <f>'(Intermediate Computations)'!ED20</f>
        <v>43891</v>
      </c>
      <c r="DT9" s="4">
        <f>'(Intermediate Computations)'!EE20</f>
        <v>43922</v>
      </c>
      <c r="DU9" s="4">
        <f>'(Intermediate Computations)'!EF20</f>
        <v>43952</v>
      </c>
      <c r="DV9" s="4">
        <f>'(Intermediate Computations)'!EG20</f>
        <v>43983</v>
      </c>
      <c r="DW9" s="4">
        <f>'(Intermediate Computations)'!EH20</f>
        <v>44013</v>
      </c>
      <c r="DX9" s="4">
        <f>'(Intermediate Computations)'!EI20</f>
        <v>44044</v>
      </c>
      <c r="DY9" s="4">
        <f>'(Intermediate Computations)'!EJ20</f>
        <v>44075</v>
      </c>
      <c r="DZ9" s="4">
        <f>'(Intermediate Computations)'!EK20</f>
        <v>44105</v>
      </c>
      <c r="EA9" s="4">
        <f>'(Intermediate Computations)'!EL20</f>
        <v>44136</v>
      </c>
      <c r="EB9" s="4">
        <f>'(Intermediate Computations)'!EM20</f>
        <v>44166</v>
      </c>
    </row>
    <row r="10" spans="1:132" ht="12.75" customHeight="1" x14ac:dyDescent="0.2">
      <c r="A10" s="57">
        <f>Income!B13</f>
        <v>933333.33333333337</v>
      </c>
      <c r="B10" s="57">
        <f ca="1">Income!C13</f>
        <v>933381.15111087961</v>
      </c>
      <c r="C10" s="57">
        <f ca="1">Income!D13</f>
        <v>933405.31829365669</v>
      </c>
      <c r="D10" s="57">
        <f ca="1">Income!E13</f>
        <v>933467.02152908174</v>
      </c>
      <c r="E10" s="57">
        <f ca="1">Income!F13</f>
        <v>933440.85572897305</v>
      </c>
      <c r="F10" s="57">
        <f ca="1">Income!G13</f>
        <v>933542.31721433683</v>
      </c>
      <c r="G10" s="57">
        <f ca="1">Income!H13</f>
        <v>933595.02425196592</v>
      </c>
      <c r="H10" s="57">
        <f ca="1">Income!I13</f>
        <v>933698.85003358731</v>
      </c>
      <c r="I10" s="57">
        <f ca="1">Income!J13</f>
        <v>933668.98020786815</v>
      </c>
      <c r="J10" s="57">
        <f ca="1">Income!K13</f>
        <v>933698.68969696469</v>
      </c>
      <c r="K10" s="57">
        <f ca="1">Income!L13</f>
        <v>933740.01197400398</v>
      </c>
      <c r="L10" s="57">
        <f ca="1">Income!M13</f>
        <v>933737.51361474046</v>
      </c>
      <c r="M10" s="57">
        <f ca="1">Income!O13</f>
        <v>933674.34067444759</v>
      </c>
      <c r="N10" s="57">
        <f ca="1">Income!P13</f>
        <v>933666.81860540051</v>
      </c>
      <c r="O10" s="57">
        <f ca="1">Income!Q13</f>
        <v>933601.93108791823</v>
      </c>
      <c r="P10" s="57">
        <f ca="1">Income!R13</f>
        <v>933584.17354932381</v>
      </c>
      <c r="Q10" s="57">
        <f ca="1">Income!S13</f>
        <v>933584.32405049296</v>
      </c>
      <c r="R10" s="57">
        <f ca="1">Income!T13</f>
        <v>933630.34116657148</v>
      </c>
      <c r="S10" s="57">
        <f ca="1">Income!U13</f>
        <v>933583.65480826865</v>
      </c>
      <c r="T10" s="57">
        <f ca="1">Income!V13</f>
        <v>933607.32828089118</v>
      </c>
      <c r="U10" s="57">
        <f ca="1">Income!W13</f>
        <v>933640.08837359294</v>
      </c>
      <c r="V10" s="57">
        <f ca="1">Income!X13</f>
        <v>933604.83854715992</v>
      </c>
      <c r="W10" s="57">
        <f ca="1">Income!Y13</f>
        <v>933581.68283591443</v>
      </c>
      <c r="X10" s="57">
        <f ca="1">Income!Z13</f>
        <v>933551.61261451908</v>
      </c>
      <c r="Y10" s="57">
        <f ca="1">Income!AB13</f>
        <v>933541.44302389526</v>
      </c>
      <c r="Z10" s="57">
        <f ca="1">Income!AC13</f>
        <v>933488.46034997527</v>
      </c>
      <c r="AA10" s="57">
        <f ca="1">Income!AD13</f>
        <v>933532.39990816358</v>
      </c>
      <c r="AB10" s="57">
        <f ca="1">Income!AE13</f>
        <v>933652.98251277162</v>
      </c>
      <c r="AC10" s="57">
        <f ca="1">Income!AF13</f>
        <v>933643.46670841402</v>
      </c>
      <c r="AD10" s="57">
        <f ca="1">Income!AG13</f>
        <v>933572.62750915356</v>
      </c>
      <c r="AE10" s="57">
        <f ca="1">Income!AH13</f>
        <v>933509.47470393789</v>
      </c>
      <c r="AF10" s="57">
        <f ca="1">Income!AI13</f>
        <v>933553.31768709433</v>
      </c>
      <c r="AG10" s="57">
        <f ca="1">Income!AJ13</f>
        <v>933501.68377489236</v>
      </c>
      <c r="AH10" s="57">
        <f ca="1">Income!AK13</f>
        <v>933394.8386365039</v>
      </c>
      <c r="AI10" s="57">
        <f ca="1">Income!AL13</f>
        <v>933457.11812053865</v>
      </c>
      <c r="AJ10" s="57">
        <f ca="1">Income!AM13</f>
        <v>933492.05629053188</v>
      </c>
      <c r="AK10" s="57">
        <f ca="1">Income!AO13</f>
        <v>933520.03701784101</v>
      </c>
      <c r="AL10" s="57">
        <f ca="1">Income!AP13</f>
        <v>933540.85066056566</v>
      </c>
      <c r="AM10" s="57">
        <f ca="1">Income!AQ13</f>
        <v>933621.39343488635</v>
      </c>
      <c r="AN10" s="57">
        <f ca="1">Income!AR13</f>
        <v>933645.74593178742</v>
      </c>
      <c r="AO10" s="57">
        <f ca="1">Income!AS13</f>
        <v>933598.15036649443</v>
      </c>
      <c r="AP10" s="57">
        <f ca="1">Income!AT13</f>
        <v>933573.99194506416</v>
      </c>
      <c r="AQ10" s="57">
        <f ca="1">Income!AU13</f>
        <v>933669.26719709777</v>
      </c>
      <c r="AR10" s="57">
        <f ca="1">Income!AV13</f>
        <v>933645.9895201436</v>
      </c>
      <c r="AS10" s="57">
        <f ca="1">Income!AW13</f>
        <v>933574.97968643764</v>
      </c>
      <c r="AT10" s="57">
        <f ca="1">Income!AX13</f>
        <v>933484.14271371509</v>
      </c>
      <c r="AU10" s="57">
        <f ca="1">Income!AY13</f>
        <v>933542.77132174151</v>
      </c>
      <c r="AV10" s="57">
        <f ca="1">Income!AZ13</f>
        <v>933529.31362691103</v>
      </c>
      <c r="AW10" s="57">
        <f ca="1">Income!BB13</f>
        <v>933527.00872491277</v>
      </c>
      <c r="AX10" s="57">
        <f ca="1">Income!BC13</f>
        <v>933527.21063965699</v>
      </c>
      <c r="AY10" s="57">
        <f ca="1">Income!BD13</f>
        <v>933558.23705129977</v>
      </c>
      <c r="AZ10" s="57">
        <f ca="1">Income!BE13</f>
        <v>933612.41945669078</v>
      </c>
      <c r="BA10" s="57">
        <f ca="1">Income!BF13</f>
        <v>933599.38341534708</v>
      </c>
      <c r="BB10" s="57">
        <f ca="1">Income!BG13</f>
        <v>933702.25150519214</v>
      </c>
      <c r="BC10" s="57">
        <f ca="1">Income!BH13</f>
        <v>933671.73993408971</v>
      </c>
      <c r="BD10" s="57">
        <f ca="1">Income!BI13</f>
        <v>933645.41192301456</v>
      </c>
      <c r="BE10" s="57">
        <f ca="1">Income!BJ13</f>
        <v>933589.35448201874</v>
      </c>
      <c r="BF10" s="57">
        <f ca="1">Income!BK13</f>
        <v>933561.17280634923</v>
      </c>
      <c r="BG10" s="57">
        <f ca="1">Income!BL13</f>
        <v>933604.23188466392</v>
      </c>
      <c r="BH10" s="57">
        <f ca="1">Income!BM13</f>
        <v>933664.05043940316</v>
      </c>
      <c r="BI10" s="57">
        <f ca="1">Income!BO13</f>
        <v>933669.13268355478</v>
      </c>
      <c r="BJ10" s="57">
        <f ca="1">Income!BP13</f>
        <v>933659.43808126287</v>
      </c>
      <c r="BK10" s="57">
        <f ca="1">Income!BQ13</f>
        <v>933597.17772354046</v>
      </c>
      <c r="BL10" s="57">
        <f ca="1">Income!BR13</f>
        <v>933617.29127219343</v>
      </c>
      <c r="BM10" s="57">
        <f ca="1">Income!BS13</f>
        <v>933551.94662785192</v>
      </c>
      <c r="BN10" s="57">
        <f ca="1">Income!BT13</f>
        <v>933633.81348120887</v>
      </c>
      <c r="BO10" s="57">
        <f ca="1">Income!BU13</f>
        <v>933627.84379611898</v>
      </c>
      <c r="BP10" s="57">
        <f ca="1">Income!BV13</f>
        <v>933593.32047417236</v>
      </c>
      <c r="BQ10" s="57">
        <f ca="1">Income!BW13</f>
        <v>933572.65695467952</v>
      </c>
      <c r="BR10" s="57">
        <f ca="1">Income!BX13</f>
        <v>933598.81921887328</v>
      </c>
      <c r="BS10" s="57">
        <f ca="1">Income!BY13</f>
        <v>933585.82788109872</v>
      </c>
      <c r="BT10" s="57">
        <f ca="1">Income!BZ13</f>
        <v>933700.42378233292</v>
      </c>
      <c r="BU10" s="57">
        <f ca="1">Income!CB13</f>
        <v>933798.78350850171</v>
      </c>
      <c r="BV10" s="57">
        <f ca="1">Income!CC13</f>
        <v>933740.14949400432</v>
      </c>
      <c r="BW10" s="57">
        <f ca="1">Income!CD13</f>
        <v>933769.02615003358</v>
      </c>
      <c r="BX10" s="57">
        <f ca="1">Income!CE13</f>
        <v>933788.91406833357</v>
      </c>
      <c r="BY10" s="57">
        <f ca="1">Income!CF13</f>
        <v>933857.24704289704</v>
      </c>
      <c r="BZ10" s="57">
        <f ca="1">Income!CG13</f>
        <v>933893.57489260193</v>
      </c>
      <c r="CA10" s="57">
        <f ca="1">Income!CH13</f>
        <v>933880.41475616128</v>
      </c>
      <c r="CB10" s="57">
        <f ca="1">Income!CI13</f>
        <v>933820.48549829971</v>
      </c>
      <c r="CC10" s="57">
        <f ca="1">Income!CJ13</f>
        <v>933754.59088069538</v>
      </c>
      <c r="CD10" s="57">
        <f ca="1">Income!CK13</f>
        <v>933754.43833444186</v>
      </c>
      <c r="CE10" s="57">
        <f ca="1">Income!CL13</f>
        <v>933821.86353627383</v>
      </c>
      <c r="CF10" s="57">
        <f ca="1">Income!CM13</f>
        <v>933848.85555884091</v>
      </c>
      <c r="CG10" s="57">
        <f ca="1">Income!CO13</f>
        <v>933957.97637754271</v>
      </c>
      <c r="CH10" s="57">
        <f ca="1">Income!CP13</f>
        <v>933901.57952064869</v>
      </c>
      <c r="CI10" s="57">
        <f ca="1">Income!CQ13</f>
        <v>933818.30767674057</v>
      </c>
      <c r="CJ10" s="57">
        <f ca="1">Income!CR13</f>
        <v>933853.99405670597</v>
      </c>
      <c r="CK10" s="57">
        <f ca="1">Income!CS13</f>
        <v>933912.91109878966</v>
      </c>
      <c r="CL10" s="57">
        <f ca="1">Income!CT13</f>
        <v>933934.34074017219</v>
      </c>
      <c r="CM10" s="57">
        <f ca="1">Income!CU13</f>
        <v>933980.9495648864</v>
      </c>
      <c r="CN10" s="57">
        <f ca="1">Income!CV13</f>
        <v>933911.87006295065</v>
      </c>
      <c r="CO10" s="57">
        <f ca="1">Income!CW13</f>
        <v>933804.91960903758</v>
      </c>
      <c r="CP10" s="57">
        <f ca="1">Income!CX13</f>
        <v>933731.16125119966</v>
      </c>
      <c r="CQ10" s="57">
        <f ca="1">Income!CY13</f>
        <v>933670.29834820249</v>
      </c>
      <c r="CR10" s="57">
        <f ca="1">Income!CZ13</f>
        <v>933645.00612119376</v>
      </c>
      <c r="CS10" s="57">
        <f ca="1">Income!DB13</f>
        <v>933622.31793010305</v>
      </c>
      <c r="CT10" s="57">
        <f ca="1">Income!DC13</f>
        <v>933670.40700694849</v>
      </c>
      <c r="CU10" s="57">
        <f ca="1">Income!DD13</f>
        <v>933683.96649536688</v>
      </c>
      <c r="CV10" s="57">
        <f ca="1">Income!DE13</f>
        <v>933659.48420149344</v>
      </c>
      <c r="CW10" s="57">
        <f ca="1">Income!DF13</f>
        <v>933678.56716599874</v>
      </c>
      <c r="CX10" s="57">
        <f ca="1">Income!DG13</f>
        <v>933608.21015952842</v>
      </c>
      <c r="CY10" s="57">
        <f ca="1">Income!DH13</f>
        <v>933619.21981606784</v>
      </c>
      <c r="CZ10" s="57">
        <f ca="1">Income!DI13</f>
        <v>933618.66066942958</v>
      </c>
      <c r="DA10" s="57">
        <f ca="1">Income!DJ13</f>
        <v>933517.98945839179</v>
      </c>
      <c r="DB10" s="57">
        <f ca="1">Income!DK13</f>
        <v>933511.60830369382</v>
      </c>
      <c r="DC10" s="57">
        <f ca="1">Income!DL13</f>
        <v>933562.95324304781</v>
      </c>
      <c r="DD10" s="57">
        <f ca="1">Income!DM13</f>
        <v>933638.03882521018</v>
      </c>
      <c r="DE10" s="57">
        <f ca="1">Income!DO13</f>
        <v>933642.83037026075</v>
      </c>
      <c r="DF10" s="57">
        <f ca="1">Income!DP13</f>
        <v>933634.91114568</v>
      </c>
      <c r="DG10" s="57">
        <f ca="1">Income!DQ13</f>
        <v>933661.59161848971</v>
      </c>
      <c r="DH10" s="57">
        <f ca="1">Income!DR13</f>
        <v>933575.30551005539</v>
      </c>
      <c r="DI10" s="57">
        <f ca="1">Income!DS13</f>
        <v>933523.38225373486</v>
      </c>
      <c r="DJ10" s="57">
        <f ca="1">Income!DT13</f>
        <v>933543.68247857946</v>
      </c>
      <c r="DK10" s="57">
        <f ca="1">Income!DU13</f>
        <v>933552.761894339</v>
      </c>
      <c r="DL10" s="57">
        <f ca="1">Income!DV13</f>
        <v>933440.61027058598</v>
      </c>
      <c r="DM10" s="57">
        <f ca="1">Income!DW13</f>
        <v>933494.03824535199</v>
      </c>
      <c r="DN10" s="57">
        <f ca="1">Income!DX13</f>
        <v>933477.18948493956</v>
      </c>
      <c r="DO10" s="57">
        <f ca="1">Income!DY13</f>
        <v>933380.98365415505</v>
      </c>
      <c r="DP10" s="57">
        <f ca="1">Income!DZ13</f>
        <v>933483.19958465127</v>
      </c>
      <c r="DQ10" s="57">
        <f ca="1">Income!EB13</f>
        <v>933504.48659064481</v>
      </c>
      <c r="DR10" s="57">
        <f ca="1">Income!EC13</f>
        <v>933528.56779226009</v>
      </c>
      <c r="DS10" s="57">
        <f ca="1">Income!ED13</f>
        <v>933558.27828138834</v>
      </c>
      <c r="DT10" s="57">
        <f ca="1">Income!EE13</f>
        <v>933507.50408039358</v>
      </c>
      <c r="DU10" s="57">
        <f ca="1">Income!EF13</f>
        <v>933434.51537927252</v>
      </c>
      <c r="DV10" s="57">
        <f ca="1">Income!EG13</f>
        <v>933490.3256842494</v>
      </c>
      <c r="DW10" s="57">
        <f ca="1">Income!EH13</f>
        <v>933492.15968744643</v>
      </c>
      <c r="DX10" s="57">
        <f ca="1">Income!EI13</f>
        <v>933517.61096868571</v>
      </c>
      <c r="DY10" s="57">
        <f ca="1">Income!EJ13</f>
        <v>933596.81844724505</v>
      </c>
      <c r="DZ10" s="57">
        <f ca="1">Income!EK13</f>
        <v>933537.94127347239</v>
      </c>
      <c r="EA10" s="57">
        <f ca="1">Income!EL13</f>
        <v>933534.03714765271</v>
      </c>
      <c r="EB10" s="57">
        <f ca="1">Income!EM13</f>
        <v>933602.60623419995</v>
      </c>
    </row>
    <row r="11" spans="1:132" ht="12.75" customHeight="1" x14ac:dyDescent="0.2">
      <c r="A11" s="4" t="str">
        <f>'(Intermediate Computations)'!B29</f>
        <v>MMM 2010</v>
      </c>
      <c r="B11" s="4" t="str">
        <f>'(Intermediate Computations)'!C29</f>
        <v>MMM 2010</v>
      </c>
      <c r="C11" s="4" t="str">
        <f>'(Intermediate Computations)'!D29</f>
        <v>MMM 2010</v>
      </c>
      <c r="D11" s="4" t="str">
        <f>'(Intermediate Computations)'!E29</f>
        <v>MMM 2010</v>
      </c>
      <c r="E11" s="4" t="str">
        <f>'(Intermediate Computations)'!F29</f>
        <v>MMM 2010</v>
      </c>
      <c r="F11" s="4" t="str">
        <f>'(Intermediate Computations)'!G29</f>
        <v>MMM 2010</v>
      </c>
      <c r="G11" s="4" t="str">
        <f>'(Intermediate Computations)'!H29</f>
        <v>MMM 2010</v>
      </c>
      <c r="H11" s="4" t="str">
        <f>'(Intermediate Computations)'!I29</f>
        <v>MMM 2010</v>
      </c>
      <c r="I11" s="4" t="str">
        <f>'(Intermediate Computations)'!J29</f>
        <v>MMM 2010</v>
      </c>
      <c r="J11" s="4" t="str">
        <f>'(Intermediate Computations)'!K29</f>
        <v>MMM 2010</v>
      </c>
      <c r="K11" s="4" t="str">
        <f>'(Intermediate Computations)'!L29</f>
        <v>MMM 2010</v>
      </c>
      <c r="L11" s="4" t="str">
        <f>'(Intermediate Computations)'!M29</f>
        <v>MMM 2010</v>
      </c>
      <c r="M11" s="4" t="str">
        <f>'(Intermediate Computations)'!O29</f>
        <v>MMM 2011</v>
      </c>
      <c r="N11" s="4" t="str">
        <f>'(Intermediate Computations)'!P29</f>
        <v>MMM 2011</v>
      </c>
      <c r="O11" s="4" t="str">
        <f>'(Intermediate Computations)'!Q29</f>
        <v>MMM 2011</v>
      </c>
      <c r="P11" s="4" t="str">
        <f>'(Intermediate Computations)'!R29</f>
        <v>MMM 2011</v>
      </c>
      <c r="Q11" s="4" t="str">
        <f>'(Intermediate Computations)'!S29</f>
        <v>MMM 2011</v>
      </c>
      <c r="R11" s="4" t="str">
        <f>'(Intermediate Computations)'!T29</f>
        <v>MMM 2011</v>
      </c>
      <c r="S11" s="4" t="str">
        <f>'(Intermediate Computations)'!U29</f>
        <v>MMM 2011</v>
      </c>
      <c r="T11" s="4" t="str">
        <f>'(Intermediate Computations)'!V29</f>
        <v>MMM 2011</v>
      </c>
      <c r="U11" s="4" t="str">
        <f>'(Intermediate Computations)'!W29</f>
        <v>MMM 2011</v>
      </c>
      <c r="V11" s="4" t="str">
        <f>'(Intermediate Computations)'!X29</f>
        <v>MMM 2011</v>
      </c>
      <c r="W11" s="4" t="str">
        <f>'(Intermediate Computations)'!Y29</f>
        <v>MMM 2011</v>
      </c>
      <c r="X11" s="4" t="str">
        <f>'(Intermediate Computations)'!Z29</f>
        <v>MMM 2011</v>
      </c>
      <c r="Y11" s="4" t="str">
        <f>'(Intermediate Computations)'!AB29</f>
        <v>MMM 2012</v>
      </c>
      <c r="Z11" s="4" t="str">
        <f>'(Intermediate Computations)'!AC29</f>
        <v>MMM 2012</v>
      </c>
      <c r="AA11" s="4" t="str">
        <f>'(Intermediate Computations)'!AD29</f>
        <v>MMM 2012</v>
      </c>
      <c r="AB11" s="4" t="str">
        <f>'(Intermediate Computations)'!AE29</f>
        <v>MMM 2012</v>
      </c>
      <c r="AC11" s="4" t="str">
        <f>'(Intermediate Computations)'!AF29</f>
        <v>MMM 2012</v>
      </c>
      <c r="AD11" s="4" t="str">
        <f>'(Intermediate Computations)'!AG29</f>
        <v>MMM 2012</v>
      </c>
      <c r="AE11" s="4" t="str">
        <f>'(Intermediate Computations)'!AH29</f>
        <v>MMM 2012</v>
      </c>
      <c r="AF11" s="4" t="str">
        <f>'(Intermediate Computations)'!AI29</f>
        <v>MMM 2012</v>
      </c>
      <c r="AG11" s="4" t="str">
        <f>'(Intermediate Computations)'!AJ29</f>
        <v>MMM 2012</v>
      </c>
      <c r="AH11" s="4" t="str">
        <f>'(Intermediate Computations)'!AK29</f>
        <v>MMM 2012</v>
      </c>
      <c r="AI11" s="4" t="str">
        <f>'(Intermediate Computations)'!AL29</f>
        <v>MMM 2012</v>
      </c>
      <c r="AJ11" s="4" t="str">
        <f>'(Intermediate Computations)'!AM29</f>
        <v>MMM 2012</v>
      </c>
      <c r="AK11" s="4" t="str">
        <f>'(Intermediate Computations)'!AO29</f>
        <v>MMM 2013</v>
      </c>
      <c r="AL11" s="4" t="str">
        <f>'(Intermediate Computations)'!AP29</f>
        <v>MMM 2013</v>
      </c>
      <c r="AM11" s="4" t="str">
        <f>'(Intermediate Computations)'!AQ29</f>
        <v>MMM 2013</v>
      </c>
      <c r="AN11" s="4" t="str">
        <f>'(Intermediate Computations)'!AR29</f>
        <v>MMM 2013</v>
      </c>
      <c r="AO11" s="4" t="str">
        <f>'(Intermediate Computations)'!AS29</f>
        <v>MMM 2013</v>
      </c>
      <c r="AP11" s="4" t="str">
        <f>'(Intermediate Computations)'!AT29</f>
        <v>MMM 2013</v>
      </c>
      <c r="AQ11" s="4" t="str">
        <f>'(Intermediate Computations)'!AU29</f>
        <v>MMM 2013</v>
      </c>
      <c r="AR11" s="4" t="str">
        <f>'(Intermediate Computations)'!AV29</f>
        <v>MMM 2013</v>
      </c>
      <c r="AS11" s="4" t="str">
        <f>'(Intermediate Computations)'!AW29</f>
        <v>MMM 2013</v>
      </c>
      <c r="AT11" s="4" t="str">
        <f>'(Intermediate Computations)'!AX29</f>
        <v>MMM 2013</v>
      </c>
      <c r="AU11" s="4" t="str">
        <f>'(Intermediate Computations)'!AY29</f>
        <v>MMM 2013</v>
      </c>
      <c r="AV11" s="4" t="str">
        <f>'(Intermediate Computations)'!AZ29</f>
        <v>MMM 2013</v>
      </c>
      <c r="AW11" s="4" t="str">
        <f>'(Intermediate Computations)'!BB29</f>
        <v>MMM 2014</v>
      </c>
      <c r="AX11" s="4" t="str">
        <f>'(Intermediate Computations)'!BC29</f>
        <v>MMM 2014</v>
      </c>
      <c r="AY11" s="4" t="str">
        <f>'(Intermediate Computations)'!BD29</f>
        <v>MMM 2014</v>
      </c>
      <c r="AZ11" s="4" t="str">
        <f>'(Intermediate Computations)'!BE29</f>
        <v>MMM 2014</v>
      </c>
      <c r="BA11" s="4" t="str">
        <f>'(Intermediate Computations)'!BF29</f>
        <v>MMM 2014</v>
      </c>
      <c r="BB11" s="4" t="str">
        <f>'(Intermediate Computations)'!BG29</f>
        <v>MMM 2014</v>
      </c>
      <c r="BC11" s="4" t="str">
        <f>'(Intermediate Computations)'!BH29</f>
        <v>MMM 2014</v>
      </c>
      <c r="BD11" s="4" t="str">
        <f>'(Intermediate Computations)'!BI29</f>
        <v>MMM 2014</v>
      </c>
      <c r="BE11" s="4" t="str">
        <f>'(Intermediate Computations)'!BJ29</f>
        <v>MMM 2014</v>
      </c>
      <c r="BF11" s="4" t="str">
        <f>'(Intermediate Computations)'!BK29</f>
        <v>MMM 2014</v>
      </c>
      <c r="BG11" s="4" t="str">
        <f>'(Intermediate Computations)'!BL29</f>
        <v>MMM 2014</v>
      </c>
      <c r="BH11" s="4" t="str">
        <f>'(Intermediate Computations)'!BM29</f>
        <v>MMM 2014</v>
      </c>
      <c r="BI11" s="4" t="str">
        <f>'(Intermediate Computations)'!BO29</f>
        <v>MMM 2015</v>
      </c>
      <c r="BJ11" s="4" t="str">
        <f>'(Intermediate Computations)'!BP29</f>
        <v>MMM 2015</v>
      </c>
      <c r="BK11" s="4" t="str">
        <f>'(Intermediate Computations)'!BQ29</f>
        <v>MMM 2015</v>
      </c>
      <c r="BL11" s="4" t="str">
        <f>'(Intermediate Computations)'!BR29</f>
        <v>MMM 2015</v>
      </c>
      <c r="BM11" s="4" t="str">
        <f>'(Intermediate Computations)'!BS29</f>
        <v>MMM 2015</v>
      </c>
      <c r="BN11" s="4" t="str">
        <f>'(Intermediate Computations)'!BT29</f>
        <v>MMM 2015</v>
      </c>
      <c r="BO11" s="4" t="str">
        <f>'(Intermediate Computations)'!BU29</f>
        <v>MMM 2015</v>
      </c>
      <c r="BP11" s="4" t="str">
        <f>'(Intermediate Computations)'!BV29</f>
        <v>MMM 2015</v>
      </c>
      <c r="BQ11" s="4" t="str">
        <f>'(Intermediate Computations)'!BW29</f>
        <v>MMM 2015</v>
      </c>
      <c r="BR11" s="4" t="str">
        <f>'(Intermediate Computations)'!BX29</f>
        <v>MMM 2015</v>
      </c>
      <c r="BS11" s="4" t="str">
        <f>'(Intermediate Computations)'!BY29</f>
        <v>MMM 2015</v>
      </c>
      <c r="BT11" s="4" t="str">
        <f>'(Intermediate Computations)'!BZ29</f>
        <v>MMM 2015</v>
      </c>
      <c r="BU11" s="4" t="str">
        <f>'(Intermediate Computations)'!CB29</f>
        <v>MMM 2016</v>
      </c>
      <c r="BV11" s="4" t="str">
        <f>'(Intermediate Computations)'!CC29</f>
        <v>MMM 2016</v>
      </c>
      <c r="BW11" s="4" t="str">
        <f>'(Intermediate Computations)'!CD29</f>
        <v>MMM 2016</v>
      </c>
      <c r="BX11" s="4" t="str">
        <f>'(Intermediate Computations)'!CE29</f>
        <v>MMM 2016</v>
      </c>
      <c r="BY11" s="4" t="str">
        <f>'(Intermediate Computations)'!CF29</f>
        <v>MMM 2016</v>
      </c>
      <c r="BZ11" s="4" t="str">
        <f>'(Intermediate Computations)'!CG29</f>
        <v>MMM 2016</v>
      </c>
      <c r="CA11" s="4" t="str">
        <f>'(Intermediate Computations)'!CH29</f>
        <v>MMM 2016</v>
      </c>
      <c r="CB11" s="4" t="str">
        <f>'(Intermediate Computations)'!CI29</f>
        <v>MMM 2016</v>
      </c>
      <c r="CC11" s="4" t="str">
        <f>'(Intermediate Computations)'!CJ29</f>
        <v>MMM 2016</v>
      </c>
      <c r="CD11" s="4" t="str">
        <f>'(Intermediate Computations)'!CK29</f>
        <v>MMM 2016</v>
      </c>
      <c r="CE11" s="4" t="str">
        <f>'(Intermediate Computations)'!CL29</f>
        <v>MMM 2016</v>
      </c>
      <c r="CF11" s="4" t="str">
        <f>'(Intermediate Computations)'!CM29</f>
        <v>MMM 2016</v>
      </c>
      <c r="CG11" s="4" t="str">
        <f>'(Intermediate Computations)'!CO29</f>
        <v>MMM 2017</v>
      </c>
      <c r="CH11" s="4" t="str">
        <f>'(Intermediate Computations)'!CP29</f>
        <v>MMM 2017</v>
      </c>
      <c r="CI11" s="4" t="str">
        <f>'(Intermediate Computations)'!CQ29</f>
        <v>MMM 2017</v>
      </c>
      <c r="CJ11" s="4" t="str">
        <f>'(Intermediate Computations)'!CR29</f>
        <v>MMM 2017</v>
      </c>
      <c r="CK11" s="4" t="str">
        <f>'(Intermediate Computations)'!CS29</f>
        <v>MMM 2017</v>
      </c>
      <c r="CL11" s="4" t="str">
        <f>'(Intermediate Computations)'!CT29</f>
        <v>MMM 2017</v>
      </c>
      <c r="CM11" s="4" t="str">
        <f>'(Intermediate Computations)'!CU29</f>
        <v>MMM 2017</v>
      </c>
      <c r="CN11" s="4" t="str">
        <f>'(Intermediate Computations)'!CV29</f>
        <v>MMM 2017</v>
      </c>
      <c r="CO11" s="4" t="str">
        <f>'(Intermediate Computations)'!CW29</f>
        <v>MMM 2017</v>
      </c>
      <c r="CP11" s="4" t="str">
        <f>'(Intermediate Computations)'!CX29</f>
        <v>MMM 2017</v>
      </c>
      <c r="CQ11" s="4" t="str">
        <f>'(Intermediate Computations)'!CY29</f>
        <v>MMM 2017</v>
      </c>
      <c r="CR11" s="4" t="str">
        <f>'(Intermediate Computations)'!CZ29</f>
        <v>MMM 2017</v>
      </c>
      <c r="CS11" s="4" t="str">
        <f>'(Intermediate Computations)'!DB29</f>
        <v>MMM 2018</v>
      </c>
      <c r="CT11" s="4" t="str">
        <f>'(Intermediate Computations)'!DC29</f>
        <v>MMM 2018</v>
      </c>
      <c r="CU11" s="4" t="str">
        <f>'(Intermediate Computations)'!DD29</f>
        <v>MMM 2018</v>
      </c>
      <c r="CV11" s="4" t="str">
        <f>'(Intermediate Computations)'!DE29</f>
        <v>MMM 2018</v>
      </c>
      <c r="CW11" s="4" t="str">
        <f>'(Intermediate Computations)'!DF29</f>
        <v>MMM 2018</v>
      </c>
      <c r="CX11" s="4" t="str">
        <f>'(Intermediate Computations)'!DG29</f>
        <v>MMM 2018</v>
      </c>
      <c r="CY11" s="4" t="str">
        <f>'(Intermediate Computations)'!DH29</f>
        <v>MMM 2018</v>
      </c>
      <c r="CZ11" s="4" t="str">
        <f>'(Intermediate Computations)'!DI29</f>
        <v>MMM 2018</v>
      </c>
      <c r="DA11" s="4" t="str">
        <f>'(Intermediate Computations)'!DJ29</f>
        <v>MMM 2018</v>
      </c>
      <c r="DB11" s="4" t="str">
        <f>'(Intermediate Computations)'!DK29</f>
        <v>MMM 2018</v>
      </c>
      <c r="DC11" s="4" t="str">
        <f>'(Intermediate Computations)'!DL29</f>
        <v>MMM 2018</v>
      </c>
      <c r="DD11" s="4" t="str">
        <f>'(Intermediate Computations)'!DM29</f>
        <v>MMM 2018</v>
      </c>
      <c r="DE11" s="4" t="str">
        <f>'(Intermediate Computations)'!DO29</f>
        <v>MMM 2019</v>
      </c>
      <c r="DF11" s="4" t="str">
        <f>'(Intermediate Computations)'!DP29</f>
        <v>MMM 2019</v>
      </c>
      <c r="DG11" s="4" t="str">
        <f>'(Intermediate Computations)'!DQ29</f>
        <v>MMM 2019</v>
      </c>
      <c r="DH11" s="4" t="str">
        <f>'(Intermediate Computations)'!DR29</f>
        <v>MMM 2019</v>
      </c>
      <c r="DI11" s="4" t="str">
        <f>'(Intermediate Computations)'!DS29</f>
        <v>MMM 2019</v>
      </c>
      <c r="DJ11" s="4" t="str">
        <f>'(Intermediate Computations)'!DT29</f>
        <v>MMM 2019</v>
      </c>
      <c r="DK11" s="4" t="str">
        <f>'(Intermediate Computations)'!DU29</f>
        <v>MMM 2019</v>
      </c>
      <c r="DL11" s="4" t="str">
        <f>'(Intermediate Computations)'!DV29</f>
        <v>MMM 2019</v>
      </c>
      <c r="DM11" s="4" t="str">
        <f>'(Intermediate Computations)'!DW29</f>
        <v>MMM 2019</v>
      </c>
      <c r="DN11" s="4" t="str">
        <f>'(Intermediate Computations)'!DX29</f>
        <v>MMM 2019</v>
      </c>
      <c r="DO11" s="4" t="str">
        <f>'(Intermediate Computations)'!DY29</f>
        <v>MMM 2019</v>
      </c>
      <c r="DP11" s="4" t="str">
        <f>'(Intermediate Computations)'!DZ29</f>
        <v>MMM 2019</v>
      </c>
      <c r="DQ11" s="4" t="str">
        <f>'(Intermediate Computations)'!EB29</f>
        <v>MMM 2020</v>
      </c>
      <c r="DR11" s="4" t="str">
        <f>'(Intermediate Computations)'!EC29</f>
        <v>MMM 2020</v>
      </c>
      <c r="DS11" s="4" t="str">
        <f>'(Intermediate Computations)'!ED29</f>
        <v>MMM 2020</v>
      </c>
      <c r="DT11" s="4" t="str">
        <f>'(Intermediate Computations)'!EE29</f>
        <v>MMM 2020</v>
      </c>
      <c r="DU11" s="4" t="str">
        <f>'(Intermediate Computations)'!EF29</f>
        <v>MMM 2020</v>
      </c>
      <c r="DV11" s="4" t="str">
        <f>'(Intermediate Computations)'!EG29</f>
        <v>MMM 2020</v>
      </c>
      <c r="DW11" s="4" t="str">
        <f>'(Intermediate Computations)'!EH29</f>
        <v>MMM 2020</v>
      </c>
      <c r="DX11" s="4" t="str">
        <f>'(Intermediate Computations)'!EI29</f>
        <v>MMM 2020</v>
      </c>
      <c r="DY11" s="4" t="str">
        <f>'(Intermediate Computations)'!EJ29</f>
        <v>MMM 2020</v>
      </c>
      <c r="DZ11" s="4" t="str">
        <f>'(Intermediate Computations)'!EK29</f>
        <v>MMM 2020</v>
      </c>
      <c r="EA11" s="4" t="str">
        <f>'(Intermediate Computations)'!EL29</f>
        <v>MMM 2020</v>
      </c>
      <c r="EB11" s="4" t="str">
        <f>'(Intermediate Computations)'!EM29</f>
        <v>MMM 2020</v>
      </c>
    </row>
    <row r="12" spans="1:132" ht="12.75" customHeight="1" x14ac:dyDescent="0.2">
      <c r="A12" s="4">
        <f>'(Intermediate Computations)'!B26</f>
        <v>40179</v>
      </c>
      <c r="B12" s="4">
        <f>'(Intermediate Computations)'!C26</f>
        <v>40210</v>
      </c>
      <c r="C12" s="4">
        <f>'(Intermediate Computations)'!D26</f>
        <v>40238</v>
      </c>
      <c r="D12" s="4">
        <f>'(Intermediate Computations)'!E26</f>
        <v>40269</v>
      </c>
      <c r="E12" s="4">
        <f>'(Intermediate Computations)'!F26</f>
        <v>40299</v>
      </c>
      <c r="F12" s="4">
        <f>'(Intermediate Computations)'!G26</f>
        <v>40330</v>
      </c>
      <c r="G12" s="4">
        <f>'(Intermediate Computations)'!H26</f>
        <v>40360</v>
      </c>
      <c r="H12" s="4">
        <f>'(Intermediate Computations)'!I26</f>
        <v>40391</v>
      </c>
      <c r="I12" s="4">
        <f>'(Intermediate Computations)'!J26</f>
        <v>40422</v>
      </c>
      <c r="J12" s="4">
        <f>'(Intermediate Computations)'!K26</f>
        <v>40452</v>
      </c>
      <c r="K12" s="4">
        <f>'(Intermediate Computations)'!L26</f>
        <v>40483</v>
      </c>
      <c r="L12" s="4">
        <f>'(Intermediate Computations)'!M26</f>
        <v>40513</v>
      </c>
      <c r="M12" s="4">
        <f>'(Intermediate Computations)'!O26</f>
        <v>40544</v>
      </c>
      <c r="N12" s="4">
        <f>'(Intermediate Computations)'!P26</f>
        <v>40575</v>
      </c>
      <c r="O12" s="4">
        <f>'(Intermediate Computations)'!Q26</f>
        <v>40603</v>
      </c>
      <c r="P12" s="4">
        <f>'(Intermediate Computations)'!R26</f>
        <v>40634</v>
      </c>
      <c r="Q12" s="4">
        <f>'(Intermediate Computations)'!S26</f>
        <v>40664</v>
      </c>
      <c r="R12" s="4">
        <f>'(Intermediate Computations)'!T26</f>
        <v>40695</v>
      </c>
      <c r="S12" s="4">
        <f>'(Intermediate Computations)'!U26</f>
        <v>40725</v>
      </c>
      <c r="T12" s="4">
        <f>'(Intermediate Computations)'!V26</f>
        <v>40756</v>
      </c>
      <c r="U12" s="4">
        <f>'(Intermediate Computations)'!W26</f>
        <v>40787</v>
      </c>
      <c r="V12" s="4">
        <f>'(Intermediate Computations)'!X26</f>
        <v>40817</v>
      </c>
      <c r="W12" s="4">
        <f>'(Intermediate Computations)'!Y26</f>
        <v>40848</v>
      </c>
      <c r="X12" s="4">
        <f>'(Intermediate Computations)'!Z26</f>
        <v>40878</v>
      </c>
      <c r="Y12" s="4">
        <f>'(Intermediate Computations)'!AB26</f>
        <v>40909</v>
      </c>
      <c r="Z12" s="4">
        <f>'(Intermediate Computations)'!AC26</f>
        <v>40940</v>
      </c>
      <c r="AA12" s="4">
        <f>'(Intermediate Computations)'!AD26</f>
        <v>40969</v>
      </c>
      <c r="AB12" s="4">
        <f>'(Intermediate Computations)'!AE26</f>
        <v>41000</v>
      </c>
      <c r="AC12" s="4">
        <f>'(Intermediate Computations)'!AF26</f>
        <v>41030</v>
      </c>
      <c r="AD12" s="4">
        <f>'(Intermediate Computations)'!AG26</f>
        <v>41061</v>
      </c>
      <c r="AE12" s="4">
        <f>'(Intermediate Computations)'!AH26</f>
        <v>41091</v>
      </c>
      <c r="AF12" s="4">
        <f>'(Intermediate Computations)'!AI26</f>
        <v>41122</v>
      </c>
      <c r="AG12" s="4">
        <f>'(Intermediate Computations)'!AJ26</f>
        <v>41153</v>
      </c>
      <c r="AH12" s="4">
        <f>'(Intermediate Computations)'!AK26</f>
        <v>41183</v>
      </c>
      <c r="AI12" s="4">
        <f>'(Intermediate Computations)'!AL26</f>
        <v>41214</v>
      </c>
      <c r="AJ12" s="4">
        <f>'(Intermediate Computations)'!AM26</f>
        <v>41244</v>
      </c>
      <c r="AK12" s="4">
        <f>'(Intermediate Computations)'!AO26</f>
        <v>41275</v>
      </c>
      <c r="AL12" s="4">
        <f>'(Intermediate Computations)'!AP26</f>
        <v>41306</v>
      </c>
      <c r="AM12" s="4">
        <f>'(Intermediate Computations)'!AQ26</f>
        <v>41334</v>
      </c>
      <c r="AN12" s="4">
        <f>'(Intermediate Computations)'!AR26</f>
        <v>41365</v>
      </c>
      <c r="AO12" s="4">
        <f>'(Intermediate Computations)'!AS26</f>
        <v>41395</v>
      </c>
      <c r="AP12" s="4">
        <f>'(Intermediate Computations)'!AT26</f>
        <v>41426</v>
      </c>
      <c r="AQ12" s="4">
        <f>'(Intermediate Computations)'!AU26</f>
        <v>41456</v>
      </c>
      <c r="AR12" s="4">
        <f>'(Intermediate Computations)'!AV26</f>
        <v>41487</v>
      </c>
      <c r="AS12" s="4">
        <f>'(Intermediate Computations)'!AW26</f>
        <v>41518</v>
      </c>
      <c r="AT12" s="4">
        <f>'(Intermediate Computations)'!AX26</f>
        <v>41548</v>
      </c>
      <c r="AU12" s="4">
        <f>'(Intermediate Computations)'!AY26</f>
        <v>41579</v>
      </c>
      <c r="AV12" s="4">
        <f>'(Intermediate Computations)'!AZ26</f>
        <v>41609</v>
      </c>
      <c r="AW12" s="4">
        <f>'(Intermediate Computations)'!BB26</f>
        <v>41640</v>
      </c>
      <c r="AX12" s="4">
        <f>'(Intermediate Computations)'!BC26</f>
        <v>41671</v>
      </c>
      <c r="AY12" s="4">
        <f>'(Intermediate Computations)'!BD26</f>
        <v>41699</v>
      </c>
      <c r="AZ12" s="4">
        <f>'(Intermediate Computations)'!BE26</f>
        <v>41730</v>
      </c>
      <c r="BA12" s="4">
        <f>'(Intermediate Computations)'!BF26</f>
        <v>41760</v>
      </c>
      <c r="BB12" s="4">
        <f>'(Intermediate Computations)'!BG26</f>
        <v>41791</v>
      </c>
      <c r="BC12" s="4">
        <f>'(Intermediate Computations)'!BH26</f>
        <v>41821</v>
      </c>
      <c r="BD12" s="4">
        <f>'(Intermediate Computations)'!BI26</f>
        <v>41852</v>
      </c>
      <c r="BE12" s="4">
        <f>'(Intermediate Computations)'!BJ26</f>
        <v>41883</v>
      </c>
      <c r="BF12" s="4">
        <f>'(Intermediate Computations)'!BK26</f>
        <v>41913</v>
      </c>
      <c r="BG12" s="4">
        <f>'(Intermediate Computations)'!BL26</f>
        <v>41944</v>
      </c>
      <c r="BH12" s="4">
        <f>'(Intermediate Computations)'!BM26</f>
        <v>41974</v>
      </c>
      <c r="BI12" s="4">
        <f>'(Intermediate Computations)'!BO26</f>
        <v>42005</v>
      </c>
      <c r="BJ12" s="4">
        <f>'(Intermediate Computations)'!BP26</f>
        <v>42036</v>
      </c>
      <c r="BK12" s="4">
        <f>'(Intermediate Computations)'!BQ26</f>
        <v>42064</v>
      </c>
      <c r="BL12" s="4">
        <f>'(Intermediate Computations)'!BR26</f>
        <v>42095</v>
      </c>
      <c r="BM12" s="4">
        <f>'(Intermediate Computations)'!BS26</f>
        <v>42125</v>
      </c>
      <c r="BN12" s="4">
        <f>'(Intermediate Computations)'!BT26</f>
        <v>42156</v>
      </c>
      <c r="BO12" s="4">
        <f>'(Intermediate Computations)'!BU26</f>
        <v>42186</v>
      </c>
      <c r="BP12" s="4">
        <f>'(Intermediate Computations)'!BV26</f>
        <v>42217</v>
      </c>
      <c r="BQ12" s="4">
        <f>'(Intermediate Computations)'!BW26</f>
        <v>42248</v>
      </c>
      <c r="BR12" s="4">
        <f>'(Intermediate Computations)'!BX26</f>
        <v>42278</v>
      </c>
      <c r="BS12" s="4">
        <f>'(Intermediate Computations)'!BY26</f>
        <v>42309</v>
      </c>
      <c r="BT12" s="4">
        <f>'(Intermediate Computations)'!BZ26</f>
        <v>42339</v>
      </c>
      <c r="BU12" s="4">
        <f>'(Intermediate Computations)'!CB26</f>
        <v>42370</v>
      </c>
      <c r="BV12" s="4">
        <f>'(Intermediate Computations)'!CC26</f>
        <v>42401</v>
      </c>
      <c r="BW12" s="4">
        <f>'(Intermediate Computations)'!CD26</f>
        <v>42430</v>
      </c>
      <c r="BX12" s="4">
        <f>'(Intermediate Computations)'!CE26</f>
        <v>42461</v>
      </c>
      <c r="BY12" s="4">
        <f>'(Intermediate Computations)'!CF26</f>
        <v>42491</v>
      </c>
      <c r="BZ12" s="4">
        <f>'(Intermediate Computations)'!CG26</f>
        <v>42522</v>
      </c>
      <c r="CA12" s="4">
        <f>'(Intermediate Computations)'!CH26</f>
        <v>42552</v>
      </c>
      <c r="CB12" s="4">
        <f>'(Intermediate Computations)'!CI26</f>
        <v>42583</v>
      </c>
      <c r="CC12" s="4">
        <f>'(Intermediate Computations)'!CJ26</f>
        <v>42614</v>
      </c>
      <c r="CD12" s="4">
        <f>'(Intermediate Computations)'!CK26</f>
        <v>42644</v>
      </c>
      <c r="CE12" s="4">
        <f>'(Intermediate Computations)'!CL26</f>
        <v>42675</v>
      </c>
      <c r="CF12" s="4">
        <f>'(Intermediate Computations)'!CM26</f>
        <v>42705</v>
      </c>
      <c r="CG12" s="4">
        <f>'(Intermediate Computations)'!CO26</f>
        <v>42736</v>
      </c>
      <c r="CH12" s="4">
        <f>'(Intermediate Computations)'!CP26</f>
        <v>42767</v>
      </c>
      <c r="CI12" s="4">
        <f>'(Intermediate Computations)'!CQ26</f>
        <v>42795</v>
      </c>
      <c r="CJ12" s="4">
        <f>'(Intermediate Computations)'!CR26</f>
        <v>42826</v>
      </c>
      <c r="CK12" s="4">
        <f>'(Intermediate Computations)'!CS26</f>
        <v>42856</v>
      </c>
      <c r="CL12" s="4">
        <f>'(Intermediate Computations)'!CT26</f>
        <v>42887</v>
      </c>
      <c r="CM12" s="4">
        <f>'(Intermediate Computations)'!CU26</f>
        <v>42917</v>
      </c>
      <c r="CN12" s="4">
        <f>'(Intermediate Computations)'!CV26</f>
        <v>42948</v>
      </c>
      <c r="CO12" s="4">
        <f>'(Intermediate Computations)'!CW26</f>
        <v>42979</v>
      </c>
      <c r="CP12" s="4">
        <f>'(Intermediate Computations)'!CX26</f>
        <v>43009</v>
      </c>
      <c r="CQ12" s="4">
        <f>'(Intermediate Computations)'!CY26</f>
        <v>43040</v>
      </c>
      <c r="CR12" s="4">
        <f>'(Intermediate Computations)'!CZ26</f>
        <v>43070</v>
      </c>
      <c r="CS12" s="4">
        <f>'(Intermediate Computations)'!DB26</f>
        <v>43101</v>
      </c>
      <c r="CT12" s="4">
        <f>'(Intermediate Computations)'!DC26</f>
        <v>43132</v>
      </c>
      <c r="CU12" s="4">
        <f>'(Intermediate Computations)'!DD26</f>
        <v>43160</v>
      </c>
      <c r="CV12" s="4">
        <f>'(Intermediate Computations)'!DE26</f>
        <v>43191</v>
      </c>
      <c r="CW12" s="4">
        <f>'(Intermediate Computations)'!DF26</f>
        <v>43221</v>
      </c>
      <c r="CX12" s="4">
        <f>'(Intermediate Computations)'!DG26</f>
        <v>43252</v>
      </c>
      <c r="CY12" s="4">
        <f>'(Intermediate Computations)'!DH26</f>
        <v>43282</v>
      </c>
      <c r="CZ12" s="4">
        <f>'(Intermediate Computations)'!DI26</f>
        <v>43313</v>
      </c>
      <c r="DA12" s="4">
        <f>'(Intermediate Computations)'!DJ26</f>
        <v>43344</v>
      </c>
      <c r="DB12" s="4">
        <f>'(Intermediate Computations)'!DK26</f>
        <v>43374</v>
      </c>
      <c r="DC12" s="4">
        <f>'(Intermediate Computations)'!DL26</f>
        <v>43405</v>
      </c>
      <c r="DD12" s="4">
        <f>'(Intermediate Computations)'!DM26</f>
        <v>43435</v>
      </c>
      <c r="DE12" s="4">
        <f>'(Intermediate Computations)'!DO26</f>
        <v>43466</v>
      </c>
      <c r="DF12" s="4">
        <f>'(Intermediate Computations)'!DP26</f>
        <v>43497</v>
      </c>
      <c r="DG12" s="4">
        <f>'(Intermediate Computations)'!DQ26</f>
        <v>43525</v>
      </c>
      <c r="DH12" s="4">
        <f>'(Intermediate Computations)'!DR26</f>
        <v>43556</v>
      </c>
      <c r="DI12" s="4">
        <f>'(Intermediate Computations)'!DS26</f>
        <v>43586</v>
      </c>
      <c r="DJ12" s="4">
        <f>'(Intermediate Computations)'!DT26</f>
        <v>43617</v>
      </c>
      <c r="DK12" s="4">
        <f>'(Intermediate Computations)'!DU26</f>
        <v>43647</v>
      </c>
      <c r="DL12" s="4">
        <f>'(Intermediate Computations)'!DV26</f>
        <v>43678</v>
      </c>
      <c r="DM12" s="4">
        <f>'(Intermediate Computations)'!DW26</f>
        <v>43709</v>
      </c>
      <c r="DN12" s="4">
        <f>'(Intermediate Computations)'!DX26</f>
        <v>43739</v>
      </c>
      <c r="DO12" s="4">
        <f>'(Intermediate Computations)'!DY26</f>
        <v>43770</v>
      </c>
      <c r="DP12" s="4">
        <f>'(Intermediate Computations)'!DZ26</f>
        <v>43800</v>
      </c>
      <c r="DQ12" s="4">
        <f>'(Intermediate Computations)'!EB26</f>
        <v>43831</v>
      </c>
      <c r="DR12" s="4">
        <f>'(Intermediate Computations)'!EC26</f>
        <v>43862</v>
      </c>
      <c r="DS12" s="4">
        <f>'(Intermediate Computations)'!ED26</f>
        <v>43891</v>
      </c>
      <c r="DT12" s="4">
        <f>'(Intermediate Computations)'!EE26</f>
        <v>43922</v>
      </c>
      <c r="DU12" s="4">
        <f>'(Intermediate Computations)'!EF26</f>
        <v>43952</v>
      </c>
      <c r="DV12" s="4">
        <f>'(Intermediate Computations)'!EG26</f>
        <v>43983</v>
      </c>
      <c r="DW12" s="4">
        <f>'(Intermediate Computations)'!EH26</f>
        <v>44013</v>
      </c>
      <c r="DX12" s="4">
        <f>'(Intermediate Computations)'!EI26</f>
        <v>44044</v>
      </c>
      <c r="DY12" s="4">
        <f>'(Intermediate Computations)'!EJ26</f>
        <v>44075</v>
      </c>
      <c r="DZ12" s="4">
        <f>'(Intermediate Computations)'!EK26</f>
        <v>44105</v>
      </c>
      <c r="EA12" s="4">
        <f>'(Intermediate Computations)'!EL26</f>
        <v>44136</v>
      </c>
      <c r="EB12" s="4">
        <f>'(Intermediate Computations)'!EM26</f>
        <v>44166</v>
      </c>
    </row>
    <row r="13" spans="1:132" ht="12.75" customHeight="1" x14ac:dyDescent="0.2">
      <c r="A13" s="57">
        <f ca="1">Income!B9</f>
        <v>950547.73324998212</v>
      </c>
      <c r="B13" s="57">
        <f ca="1">Income!C9</f>
        <v>942081.33691061195</v>
      </c>
      <c r="C13" s="57">
        <f ca="1">Income!D9</f>
        <v>955618.48304665787</v>
      </c>
      <c r="D13" s="57">
        <f ca="1">Income!E9</f>
        <v>924047.33348994213</v>
      </c>
      <c r="E13" s="57">
        <f ca="1">Income!F9</f>
        <v>969966.99045992643</v>
      </c>
      <c r="F13" s="57">
        <f ca="1">Income!G9</f>
        <v>952516.85076082824</v>
      </c>
      <c r="G13" s="57">
        <f ca="1">Income!H9</f>
        <v>970972.30563565157</v>
      </c>
      <c r="H13" s="57">
        <f ca="1">Income!I9</f>
        <v>922945.71277470211</v>
      </c>
      <c r="I13" s="57">
        <f ca="1">Income!J9</f>
        <v>944364.39628263679</v>
      </c>
      <c r="J13" s="57">
        <f ca="1">Income!K9</f>
        <v>948574.70943111274</v>
      </c>
      <c r="K13" s="57">
        <f ca="1">Income!L9</f>
        <v>932840.60263914033</v>
      </c>
      <c r="L13" s="57">
        <f ca="1">Income!M9</f>
        <v>910995.25510932296</v>
      </c>
      <c r="M13" s="57">
        <f ca="1">Income!O9</f>
        <v>930966.39581747516</v>
      </c>
      <c r="N13" s="57">
        <f ca="1">Income!P9</f>
        <v>910307.3123117697</v>
      </c>
      <c r="O13" s="57">
        <f ca="1">Income!Q9</f>
        <v>927209.21719393134</v>
      </c>
      <c r="P13" s="57">
        <f ca="1">Income!R9</f>
        <v>933638.35397023708</v>
      </c>
      <c r="Q13" s="57">
        <f ca="1">Income!S9</f>
        <v>950150.48583876621</v>
      </c>
      <c r="R13" s="57">
        <f ca="1">Income!T9</f>
        <v>916823.25217755535</v>
      </c>
      <c r="S13" s="57">
        <f ca="1">Income!U9</f>
        <v>942106.10495238774</v>
      </c>
      <c r="T13" s="57">
        <f ca="1">Income!V9</f>
        <v>945400.96165352315</v>
      </c>
      <c r="U13" s="57">
        <f ca="1">Income!W9</f>
        <v>920950.15085769957</v>
      </c>
      <c r="V13" s="57">
        <f ca="1">Income!X9</f>
        <v>925268.78249878227</v>
      </c>
      <c r="W13" s="57">
        <f ca="1">Income!Y9</f>
        <v>922756.40313358745</v>
      </c>
      <c r="X13" s="57">
        <f ca="1">Income!Z9</f>
        <v>929890.55998995528</v>
      </c>
      <c r="Y13" s="57">
        <f ca="1">Income!AB9</f>
        <v>914467.68041267991</v>
      </c>
      <c r="Z13" s="57">
        <f ca="1">Income!AC9</f>
        <v>949306.70129775745</v>
      </c>
      <c r="AA13" s="57">
        <f ca="1">Income!AD9</f>
        <v>976942.13756705564</v>
      </c>
      <c r="AB13" s="57">
        <f ca="1">Income!AE9</f>
        <v>930227.29294403526</v>
      </c>
      <c r="AC13" s="57">
        <f ca="1">Income!AF9</f>
        <v>908141.35497466801</v>
      </c>
      <c r="AD13" s="57">
        <f ca="1">Income!AG9</f>
        <v>910837.61763149127</v>
      </c>
      <c r="AE13" s="57">
        <f ca="1">Income!AH9</f>
        <v>949292.94864025712</v>
      </c>
      <c r="AF13" s="57">
        <f ca="1">Income!AI9</f>
        <v>914965.10929440171</v>
      </c>
      <c r="AG13" s="57">
        <f ca="1">Income!AJ9</f>
        <v>895037.43395506591</v>
      </c>
      <c r="AH13" s="57">
        <f ca="1">Income!AK9</f>
        <v>955815.45288899541</v>
      </c>
      <c r="AI13" s="57">
        <f ca="1">Income!AL9</f>
        <v>946034.85931808618</v>
      </c>
      <c r="AJ13" s="57">
        <f ca="1">Income!AM9</f>
        <v>943565.11812180094</v>
      </c>
      <c r="AK13" s="57">
        <f ca="1">Income!AO9</f>
        <v>941012.94839869719</v>
      </c>
      <c r="AL13" s="57">
        <f ca="1">Income!AP9</f>
        <v>962536.24941599555</v>
      </c>
      <c r="AM13" s="57">
        <f ca="1">Income!AQ9</f>
        <v>942388.29231927381</v>
      </c>
      <c r="AN13" s="57">
        <f ca="1">Income!AR9</f>
        <v>916511.34242631122</v>
      </c>
      <c r="AO13" s="57">
        <f ca="1">Income!AS9</f>
        <v>924901.11865160125</v>
      </c>
      <c r="AP13" s="57">
        <f ca="1">Income!AT9</f>
        <v>967873.08267717366</v>
      </c>
      <c r="AQ13" s="57">
        <f ca="1">Income!AU9</f>
        <v>925289.30349358334</v>
      </c>
      <c r="AR13" s="57">
        <f ca="1">Income!AV9</f>
        <v>908082.4493860167</v>
      </c>
      <c r="AS13" s="57">
        <f ca="1">Income!AW9</f>
        <v>900873.66950631654</v>
      </c>
      <c r="AT13" s="57">
        <f ca="1">Income!AX9</f>
        <v>954590.44160320773</v>
      </c>
      <c r="AU13" s="57">
        <f ca="1">Income!AY9</f>
        <v>928698.00118278363</v>
      </c>
      <c r="AV13" s="57">
        <f ca="1">Income!AZ9</f>
        <v>932699.54890752328</v>
      </c>
      <c r="AW13" s="57">
        <f ca="1">Income!BB9</f>
        <v>933599.6980328511</v>
      </c>
      <c r="AX13" s="57">
        <f ca="1">Income!BC9</f>
        <v>944696.71883104229</v>
      </c>
      <c r="AY13" s="57">
        <f ca="1">Income!BD9</f>
        <v>953063.90299207973</v>
      </c>
      <c r="AZ13" s="57">
        <f ca="1">Income!BE9</f>
        <v>928919.44457296468</v>
      </c>
      <c r="BA13" s="57">
        <f ca="1">Income!BF9</f>
        <v>970631.89575956832</v>
      </c>
      <c r="BB13" s="57">
        <f ca="1">Income!BG9</f>
        <v>922718.0859083354</v>
      </c>
      <c r="BC13" s="57">
        <f ca="1">Income!BH9</f>
        <v>924193.65594704985</v>
      </c>
      <c r="BD13" s="57">
        <f ca="1">Income!BI9</f>
        <v>913464.73316451744</v>
      </c>
      <c r="BE13" s="57">
        <f ca="1">Income!BJ9</f>
        <v>923443.95124101732</v>
      </c>
      <c r="BF13" s="57">
        <f ca="1">Income!BK9</f>
        <v>949062.44099965622</v>
      </c>
      <c r="BG13" s="57">
        <f ca="1">Income!BL9</f>
        <v>955138.91159076756</v>
      </c>
      <c r="BH13" s="57">
        <f ca="1">Income!BM9</f>
        <v>935493.65833397489</v>
      </c>
      <c r="BI13" s="57">
        <f ca="1">Income!BO9</f>
        <v>930179.07585846772</v>
      </c>
      <c r="BJ13" s="57">
        <f ca="1">Income!BP9</f>
        <v>911245.70930120628</v>
      </c>
      <c r="BK13" s="57">
        <f ca="1">Income!BQ9</f>
        <v>940838.05523861293</v>
      </c>
      <c r="BL13" s="57">
        <f ca="1">Income!BR9</f>
        <v>910093.21930924221</v>
      </c>
      <c r="BM13" s="57">
        <f ca="1">Income!BS9</f>
        <v>963024.01383635029</v>
      </c>
      <c r="BN13" s="57">
        <f ca="1">Income!BT9</f>
        <v>931484.7268488484</v>
      </c>
      <c r="BO13" s="57">
        <f ca="1">Income!BU9</f>
        <v>921199.44789534737</v>
      </c>
      <c r="BP13" s="57">
        <f ca="1">Income!BV9</f>
        <v>926154.45345676923</v>
      </c>
      <c r="BQ13" s="57">
        <f ca="1">Income!BW9</f>
        <v>942991.07206442975</v>
      </c>
      <c r="BR13" s="57">
        <f ca="1">Income!BX9</f>
        <v>928921.93762004352</v>
      </c>
      <c r="BS13" s="57">
        <f ca="1">Income!BY9</f>
        <v>974840.35232542781</v>
      </c>
      <c r="BT13" s="57">
        <f ca="1">Income!BZ9</f>
        <v>969109.92520309077</v>
      </c>
      <c r="BU13" s="57">
        <f ca="1">Income!CB9</f>
        <v>912690.53828945523</v>
      </c>
      <c r="BV13" s="57">
        <f ca="1">Income!CC9</f>
        <v>944135.74566452228</v>
      </c>
      <c r="BW13" s="57">
        <f ca="1">Income!CD9</f>
        <v>940928.67673804122</v>
      </c>
      <c r="BX13" s="57">
        <f ca="1">Income!CE9</f>
        <v>958388.78491120227</v>
      </c>
      <c r="BY13" s="57">
        <f ca="1">Income!CF9</f>
        <v>946935.27293666336</v>
      </c>
      <c r="BZ13" s="57">
        <f ca="1">Income!CG9</f>
        <v>929155.92577395705</v>
      </c>
      <c r="CA13" s="57">
        <f ca="1">Income!CH9</f>
        <v>912305.88192601036</v>
      </c>
      <c r="CB13" s="57">
        <f ca="1">Income!CI9</f>
        <v>910098.423160746</v>
      </c>
      <c r="CC13" s="57">
        <f ca="1">Income!CJ9</f>
        <v>933699.67422943562</v>
      </c>
      <c r="CD13" s="57">
        <f ca="1">Income!CK9</f>
        <v>958027.5109939652</v>
      </c>
      <c r="CE13" s="57">
        <f ca="1">Income!CL9</f>
        <v>943538.99166040239</v>
      </c>
      <c r="CF13" s="57">
        <f ca="1">Income!CM9</f>
        <v>973132.35029150127</v>
      </c>
      <c r="CG13" s="57">
        <f ca="1">Income!CO9</f>
        <v>913655.10789570678</v>
      </c>
      <c r="CH13" s="57">
        <f ca="1">Income!CP9</f>
        <v>903923.71571370703</v>
      </c>
      <c r="CI13" s="57">
        <f ca="1">Income!CQ9</f>
        <v>946665.40446429304</v>
      </c>
      <c r="CJ13" s="57">
        <f ca="1">Income!CR9</f>
        <v>955064.12920685136</v>
      </c>
      <c r="CK13" s="57">
        <f ca="1">Income!CS9</f>
        <v>941627.58199649537</v>
      </c>
      <c r="CL13" s="57">
        <f ca="1">Income!CT9</f>
        <v>950713.51763729379</v>
      </c>
      <c r="CM13" s="57">
        <f ca="1">Income!CU9</f>
        <v>909112.32886802079</v>
      </c>
      <c r="CN13" s="57">
        <f ca="1">Income!CV9</f>
        <v>895409.7066542278</v>
      </c>
      <c r="CO13" s="57">
        <f ca="1">Income!CW9</f>
        <v>907251.91078738216</v>
      </c>
      <c r="CP13" s="57">
        <f ca="1">Income!CX9</f>
        <v>911820.51617223327</v>
      </c>
      <c r="CQ13" s="57">
        <f ca="1">Income!CY9</f>
        <v>924565.09662505658</v>
      </c>
      <c r="CR13" s="57">
        <f ca="1">Income!CZ9</f>
        <v>925477.25732854498</v>
      </c>
      <c r="CS13" s="57">
        <f ca="1">Income!DB9</f>
        <v>950934.38559445296</v>
      </c>
      <c r="CT13" s="57">
        <f ca="1">Income!DC9</f>
        <v>938551.82283755625</v>
      </c>
      <c r="CU13" s="57">
        <f ca="1">Income!DD9</f>
        <v>924870.34070091997</v>
      </c>
      <c r="CV13" s="57">
        <f ca="1">Income!DE9</f>
        <v>940529.35142339859</v>
      </c>
      <c r="CW13" s="57">
        <f ca="1">Income!DF9</f>
        <v>908350.04483667226</v>
      </c>
      <c r="CX13" s="57">
        <f ca="1">Income!DG9</f>
        <v>937571.68651373149</v>
      </c>
      <c r="CY13" s="57">
        <f ca="1">Income!DH9</f>
        <v>933417.9270262816</v>
      </c>
      <c r="CZ13" s="57">
        <f ca="1">Income!DI9</f>
        <v>897377.0246958232</v>
      </c>
      <c r="DA13" s="57">
        <f ca="1">Income!DJ9</f>
        <v>931220.77376712952</v>
      </c>
      <c r="DB13" s="57">
        <f ca="1">Income!DK9</f>
        <v>951995.78647113917</v>
      </c>
      <c r="DC13" s="57">
        <f ca="1">Income!DL9</f>
        <v>960593.76282150322</v>
      </c>
      <c r="DD13" s="57">
        <f ca="1">Income!DM9</f>
        <v>935362.99504342442</v>
      </c>
      <c r="DE13" s="57">
        <f ca="1">Income!DO9</f>
        <v>930791.90952120558</v>
      </c>
      <c r="DF13" s="57">
        <f ca="1">Income!DP9</f>
        <v>943239.88135716156</v>
      </c>
      <c r="DG13" s="57">
        <f ca="1">Income!DQ9</f>
        <v>902598.59258211544</v>
      </c>
      <c r="DH13" s="57">
        <f ca="1">Income!DR9</f>
        <v>914882.93323465041</v>
      </c>
      <c r="DI13" s="57">
        <f ca="1">Income!DS9</f>
        <v>940831.46319777868</v>
      </c>
      <c r="DJ13" s="57">
        <f ca="1">Income!DT9</f>
        <v>936812.27215202432</v>
      </c>
      <c r="DK13" s="57">
        <f ca="1">Income!DU9</f>
        <v>893178.1773432591</v>
      </c>
      <c r="DL13" s="57">
        <f ca="1">Income!DV9</f>
        <v>952674.68118634657</v>
      </c>
      <c r="DM13" s="57">
        <f ca="1">Income!DW9</f>
        <v>927428.48449686472</v>
      </c>
      <c r="DN13" s="57">
        <f ca="1">Income!DX9</f>
        <v>898843.09040249372</v>
      </c>
      <c r="DO13" s="57">
        <f ca="1">Income!DY9</f>
        <v>970178.71863278095</v>
      </c>
      <c r="DP13" s="57">
        <f ca="1">Income!DZ9</f>
        <v>941146.5217423446</v>
      </c>
      <c r="DQ13" s="57">
        <f ca="1">Income!EB9</f>
        <v>942173.71917212498</v>
      </c>
      <c r="DR13" s="57">
        <f ca="1">Income!EC9</f>
        <v>944224.34387841448</v>
      </c>
      <c r="DS13" s="57">
        <f ca="1">Income!ED9</f>
        <v>915279.56592329149</v>
      </c>
      <c r="DT13" s="57">
        <f ca="1">Income!EE9</f>
        <v>907231.57167680212</v>
      </c>
      <c r="DU13" s="57">
        <f ca="1">Income!EF9</f>
        <v>953526.22517093131</v>
      </c>
      <c r="DV13" s="57">
        <f ca="1">Income!EG9</f>
        <v>934150.56683519576</v>
      </c>
      <c r="DW13" s="57">
        <f ca="1">Income!EH9</f>
        <v>942654.6209336021</v>
      </c>
      <c r="DX13" s="57">
        <f ca="1">Income!EI9</f>
        <v>962032.30325003294</v>
      </c>
      <c r="DY13" s="57">
        <f ca="1">Income!EJ9</f>
        <v>912401.03588909796</v>
      </c>
      <c r="DZ13" s="57">
        <f ca="1">Income!EK9</f>
        <v>932132.45597839938</v>
      </c>
      <c r="EA13" s="57">
        <f ca="1">Income!EL9</f>
        <v>958218.90830467129</v>
      </c>
      <c r="EB13" s="57">
        <f ca="1">Income!EM9</f>
        <v>956326.24729250371</v>
      </c>
    </row>
    <row r="14" spans="1:132" ht="12.75" customHeight="1" x14ac:dyDescent="0.2">
      <c r="A14" s="4" t="str">
        <f>'(Intermediate Computations)'!B35</f>
        <v>MMM 2010</v>
      </c>
      <c r="B14" s="4" t="str">
        <f>'(Intermediate Computations)'!C35</f>
        <v>MMM 2010</v>
      </c>
      <c r="C14" s="4" t="str">
        <f>'(Intermediate Computations)'!D35</f>
        <v>MMM 2010</v>
      </c>
      <c r="D14" s="4" t="str">
        <f>'(Intermediate Computations)'!E35</f>
        <v>MMM 2010</v>
      </c>
      <c r="E14" s="4" t="str">
        <f>'(Intermediate Computations)'!F35</f>
        <v>MMM 2010</v>
      </c>
      <c r="F14" s="4" t="str">
        <f>'(Intermediate Computations)'!G35</f>
        <v>MMM 2010</v>
      </c>
      <c r="G14" s="4" t="str">
        <f>'(Intermediate Computations)'!H35</f>
        <v>MMM 2010</v>
      </c>
      <c r="H14" s="4" t="str">
        <f>'(Intermediate Computations)'!I35</f>
        <v>MMM 2010</v>
      </c>
      <c r="I14" s="4" t="str">
        <f>'(Intermediate Computations)'!J35</f>
        <v>MMM 2010</v>
      </c>
      <c r="J14" s="4" t="str">
        <f>'(Intermediate Computations)'!K35</f>
        <v>MMM 2010</v>
      </c>
      <c r="K14" s="4" t="str">
        <f>'(Intermediate Computations)'!L35</f>
        <v>MMM 2010</v>
      </c>
      <c r="L14" s="4" t="str">
        <f>'(Intermediate Computations)'!M35</f>
        <v>MMM 2010</v>
      </c>
      <c r="M14" s="4" t="str">
        <f>'(Intermediate Computations)'!O35</f>
        <v>MMM 2011</v>
      </c>
      <c r="N14" s="4" t="str">
        <f>'(Intermediate Computations)'!P35</f>
        <v>MMM 2011</v>
      </c>
      <c r="O14" s="4" t="str">
        <f>'(Intermediate Computations)'!Q35</f>
        <v>MMM 2011</v>
      </c>
      <c r="P14" s="4" t="str">
        <f>'(Intermediate Computations)'!R35</f>
        <v>MMM 2011</v>
      </c>
      <c r="Q14" s="4" t="str">
        <f>'(Intermediate Computations)'!S35</f>
        <v>MMM 2011</v>
      </c>
      <c r="R14" s="4" t="str">
        <f>'(Intermediate Computations)'!T35</f>
        <v>MMM 2011</v>
      </c>
      <c r="S14" s="4" t="str">
        <f>'(Intermediate Computations)'!U35</f>
        <v>MMM 2011</v>
      </c>
      <c r="T14" s="4" t="str">
        <f>'(Intermediate Computations)'!V35</f>
        <v>MMM 2011</v>
      </c>
      <c r="U14" s="4" t="str">
        <f>'(Intermediate Computations)'!W35</f>
        <v>MMM 2011</v>
      </c>
      <c r="V14" s="4" t="str">
        <f>'(Intermediate Computations)'!X35</f>
        <v>MMM 2011</v>
      </c>
      <c r="W14" s="4" t="str">
        <f>'(Intermediate Computations)'!Y35</f>
        <v>MMM 2011</v>
      </c>
      <c r="X14" s="4" t="str">
        <f>'(Intermediate Computations)'!Z35</f>
        <v>MMM 2011</v>
      </c>
      <c r="Y14" s="4" t="str">
        <f>'(Intermediate Computations)'!AB35</f>
        <v>MMM 2012</v>
      </c>
      <c r="Z14" s="4" t="str">
        <f>'(Intermediate Computations)'!AC35</f>
        <v>MMM 2012</v>
      </c>
      <c r="AA14" s="4" t="str">
        <f>'(Intermediate Computations)'!AD35</f>
        <v>MMM 2012</v>
      </c>
      <c r="AB14" s="4" t="str">
        <f>'(Intermediate Computations)'!AE35</f>
        <v>MMM 2012</v>
      </c>
      <c r="AC14" s="4" t="str">
        <f>'(Intermediate Computations)'!AF35</f>
        <v>MMM 2012</v>
      </c>
      <c r="AD14" s="4" t="str">
        <f>'(Intermediate Computations)'!AG35</f>
        <v>MMM 2012</v>
      </c>
      <c r="AE14" s="4" t="str">
        <f>'(Intermediate Computations)'!AH35</f>
        <v>MMM 2012</v>
      </c>
      <c r="AF14" s="4" t="str">
        <f>'(Intermediate Computations)'!AI35</f>
        <v>MMM 2012</v>
      </c>
      <c r="AG14" s="4" t="str">
        <f>'(Intermediate Computations)'!AJ35</f>
        <v>MMM 2012</v>
      </c>
      <c r="AH14" s="4" t="str">
        <f>'(Intermediate Computations)'!AK35</f>
        <v>MMM 2012</v>
      </c>
      <c r="AI14" s="4" t="str">
        <f>'(Intermediate Computations)'!AL35</f>
        <v>MMM 2012</v>
      </c>
      <c r="AJ14" s="4" t="str">
        <f>'(Intermediate Computations)'!AM35</f>
        <v>MMM 2012</v>
      </c>
      <c r="AK14" s="4" t="str">
        <f>'(Intermediate Computations)'!AO35</f>
        <v>MMM 2013</v>
      </c>
      <c r="AL14" s="4" t="str">
        <f>'(Intermediate Computations)'!AP35</f>
        <v>MMM 2013</v>
      </c>
      <c r="AM14" s="4" t="str">
        <f>'(Intermediate Computations)'!AQ35</f>
        <v>MMM 2013</v>
      </c>
      <c r="AN14" s="4" t="str">
        <f>'(Intermediate Computations)'!AR35</f>
        <v>MMM 2013</v>
      </c>
      <c r="AO14" s="4" t="str">
        <f>'(Intermediate Computations)'!AS35</f>
        <v>MMM 2013</v>
      </c>
      <c r="AP14" s="4" t="str">
        <f>'(Intermediate Computations)'!AT35</f>
        <v>MMM 2013</v>
      </c>
      <c r="AQ14" s="4" t="str">
        <f>'(Intermediate Computations)'!AU35</f>
        <v>MMM 2013</v>
      </c>
      <c r="AR14" s="4" t="str">
        <f>'(Intermediate Computations)'!AV35</f>
        <v>MMM 2013</v>
      </c>
      <c r="AS14" s="4" t="str">
        <f>'(Intermediate Computations)'!AW35</f>
        <v>MMM 2013</v>
      </c>
      <c r="AT14" s="4" t="str">
        <f>'(Intermediate Computations)'!AX35</f>
        <v>MMM 2013</v>
      </c>
      <c r="AU14" s="4" t="str">
        <f>'(Intermediate Computations)'!AY35</f>
        <v>MMM 2013</v>
      </c>
      <c r="AV14" s="4" t="str">
        <f>'(Intermediate Computations)'!AZ35</f>
        <v>MMM 2013</v>
      </c>
      <c r="AW14" s="4" t="str">
        <f>'(Intermediate Computations)'!BB35</f>
        <v>MMM 2014</v>
      </c>
      <c r="AX14" s="4" t="str">
        <f>'(Intermediate Computations)'!BC35</f>
        <v>MMM 2014</v>
      </c>
      <c r="AY14" s="4" t="str">
        <f>'(Intermediate Computations)'!BD35</f>
        <v>MMM 2014</v>
      </c>
      <c r="AZ14" s="4" t="str">
        <f>'(Intermediate Computations)'!BE35</f>
        <v>MMM 2014</v>
      </c>
      <c r="BA14" s="4" t="str">
        <f>'(Intermediate Computations)'!BF35</f>
        <v>MMM 2014</v>
      </c>
      <c r="BB14" s="4" t="str">
        <f>'(Intermediate Computations)'!BG35</f>
        <v>MMM 2014</v>
      </c>
      <c r="BC14" s="4" t="str">
        <f>'(Intermediate Computations)'!BH35</f>
        <v>MMM 2014</v>
      </c>
      <c r="BD14" s="4" t="str">
        <f>'(Intermediate Computations)'!BI35</f>
        <v>MMM 2014</v>
      </c>
      <c r="BE14" s="4" t="str">
        <f>'(Intermediate Computations)'!BJ35</f>
        <v>MMM 2014</v>
      </c>
      <c r="BF14" s="4" t="str">
        <f>'(Intermediate Computations)'!BK35</f>
        <v>MMM 2014</v>
      </c>
      <c r="BG14" s="4" t="str">
        <f>'(Intermediate Computations)'!BL35</f>
        <v>MMM 2014</v>
      </c>
      <c r="BH14" s="4" t="str">
        <f>'(Intermediate Computations)'!BM35</f>
        <v>MMM 2014</v>
      </c>
      <c r="BI14" s="4" t="str">
        <f>'(Intermediate Computations)'!BO35</f>
        <v>MMM 2015</v>
      </c>
      <c r="BJ14" s="4" t="str">
        <f>'(Intermediate Computations)'!BP35</f>
        <v>MMM 2015</v>
      </c>
      <c r="BK14" s="4" t="str">
        <f>'(Intermediate Computations)'!BQ35</f>
        <v>MMM 2015</v>
      </c>
      <c r="BL14" s="4" t="str">
        <f>'(Intermediate Computations)'!BR35</f>
        <v>MMM 2015</v>
      </c>
      <c r="BM14" s="4" t="str">
        <f>'(Intermediate Computations)'!BS35</f>
        <v>MMM 2015</v>
      </c>
      <c r="BN14" s="4" t="str">
        <f>'(Intermediate Computations)'!BT35</f>
        <v>MMM 2015</v>
      </c>
      <c r="BO14" s="4" t="str">
        <f>'(Intermediate Computations)'!BU35</f>
        <v>MMM 2015</v>
      </c>
      <c r="BP14" s="4" t="str">
        <f>'(Intermediate Computations)'!BV35</f>
        <v>MMM 2015</v>
      </c>
      <c r="BQ14" s="4" t="str">
        <f>'(Intermediate Computations)'!BW35</f>
        <v>MMM 2015</v>
      </c>
      <c r="BR14" s="4" t="str">
        <f>'(Intermediate Computations)'!BX35</f>
        <v>MMM 2015</v>
      </c>
      <c r="BS14" s="4" t="str">
        <f>'(Intermediate Computations)'!BY35</f>
        <v>MMM 2015</v>
      </c>
      <c r="BT14" s="4" t="str">
        <f>'(Intermediate Computations)'!BZ35</f>
        <v>MMM 2015</v>
      </c>
      <c r="BU14" s="4" t="str">
        <f>'(Intermediate Computations)'!CB35</f>
        <v>MMM 2016</v>
      </c>
      <c r="BV14" s="4" t="str">
        <f>'(Intermediate Computations)'!CC35</f>
        <v>MMM 2016</v>
      </c>
      <c r="BW14" s="4" t="str">
        <f>'(Intermediate Computations)'!CD35</f>
        <v>MMM 2016</v>
      </c>
      <c r="BX14" s="4" t="str">
        <f>'(Intermediate Computations)'!CE35</f>
        <v>MMM 2016</v>
      </c>
      <c r="BY14" s="4" t="str">
        <f>'(Intermediate Computations)'!CF35</f>
        <v>MMM 2016</v>
      </c>
      <c r="BZ14" s="4" t="str">
        <f>'(Intermediate Computations)'!CG35</f>
        <v>MMM 2016</v>
      </c>
      <c r="CA14" s="4" t="str">
        <f>'(Intermediate Computations)'!CH35</f>
        <v>MMM 2016</v>
      </c>
      <c r="CB14" s="4" t="str">
        <f>'(Intermediate Computations)'!CI35</f>
        <v>MMM 2016</v>
      </c>
      <c r="CC14" s="4" t="str">
        <f>'(Intermediate Computations)'!CJ35</f>
        <v>MMM 2016</v>
      </c>
      <c r="CD14" s="4" t="str">
        <f>'(Intermediate Computations)'!CK35</f>
        <v>MMM 2016</v>
      </c>
      <c r="CE14" s="4" t="str">
        <f>'(Intermediate Computations)'!CL35</f>
        <v>MMM 2016</v>
      </c>
      <c r="CF14" s="4" t="str">
        <f>'(Intermediate Computations)'!CM35</f>
        <v>MMM 2016</v>
      </c>
      <c r="CG14" s="4" t="str">
        <f>'(Intermediate Computations)'!CO35</f>
        <v>MMM 2017</v>
      </c>
      <c r="CH14" s="4" t="str">
        <f>'(Intermediate Computations)'!CP35</f>
        <v>MMM 2017</v>
      </c>
      <c r="CI14" s="4" t="str">
        <f>'(Intermediate Computations)'!CQ35</f>
        <v>MMM 2017</v>
      </c>
      <c r="CJ14" s="4" t="str">
        <f>'(Intermediate Computations)'!CR35</f>
        <v>MMM 2017</v>
      </c>
      <c r="CK14" s="4" t="str">
        <f>'(Intermediate Computations)'!CS35</f>
        <v>MMM 2017</v>
      </c>
      <c r="CL14" s="4" t="str">
        <f>'(Intermediate Computations)'!CT35</f>
        <v>MMM 2017</v>
      </c>
      <c r="CM14" s="4" t="str">
        <f>'(Intermediate Computations)'!CU35</f>
        <v>MMM 2017</v>
      </c>
      <c r="CN14" s="4" t="str">
        <f>'(Intermediate Computations)'!CV35</f>
        <v>MMM 2017</v>
      </c>
      <c r="CO14" s="4" t="str">
        <f>'(Intermediate Computations)'!CW35</f>
        <v>MMM 2017</v>
      </c>
      <c r="CP14" s="4" t="str">
        <f>'(Intermediate Computations)'!CX35</f>
        <v>MMM 2017</v>
      </c>
      <c r="CQ14" s="4" t="str">
        <f>'(Intermediate Computations)'!CY35</f>
        <v>MMM 2017</v>
      </c>
      <c r="CR14" s="4" t="str">
        <f>'(Intermediate Computations)'!CZ35</f>
        <v>MMM 2017</v>
      </c>
      <c r="CS14" s="4" t="str">
        <f>'(Intermediate Computations)'!DB35</f>
        <v>MMM 2018</v>
      </c>
      <c r="CT14" s="4" t="str">
        <f>'(Intermediate Computations)'!DC35</f>
        <v>MMM 2018</v>
      </c>
      <c r="CU14" s="4" t="str">
        <f>'(Intermediate Computations)'!DD35</f>
        <v>MMM 2018</v>
      </c>
      <c r="CV14" s="4" t="str">
        <f>'(Intermediate Computations)'!DE35</f>
        <v>MMM 2018</v>
      </c>
      <c r="CW14" s="4" t="str">
        <f>'(Intermediate Computations)'!DF35</f>
        <v>MMM 2018</v>
      </c>
      <c r="CX14" s="4" t="str">
        <f>'(Intermediate Computations)'!DG35</f>
        <v>MMM 2018</v>
      </c>
      <c r="CY14" s="4" t="str">
        <f>'(Intermediate Computations)'!DH35</f>
        <v>MMM 2018</v>
      </c>
      <c r="CZ14" s="4" t="str">
        <f>'(Intermediate Computations)'!DI35</f>
        <v>MMM 2018</v>
      </c>
      <c r="DA14" s="4" t="str">
        <f>'(Intermediate Computations)'!DJ35</f>
        <v>MMM 2018</v>
      </c>
      <c r="DB14" s="4" t="str">
        <f>'(Intermediate Computations)'!DK35</f>
        <v>MMM 2018</v>
      </c>
      <c r="DC14" s="4" t="str">
        <f>'(Intermediate Computations)'!DL35</f>
        <v>MMM 2018</v>
      </c>
      <c r="DD14" s="4" t="str">
        <f>'(Intermediate Computations)'!DM35</f>
        <v>MMM 2018</v>
      </c>
      <c r="DE14" s="4" t="str">
        <f>'(Intermediate Computations)'!DO35</f>
        <v>MMM 2019</v>
      </c>
      <c r="DF14" s="4" t="str">
        <f>'(Intermediate Computations)'!DP35</f>
        <v>MMM 2019</v>
      </c>
      <c r="DG14" s="4" t="str">
        <f>'(Intermediate Computations)'!DQ35</f>
        <v>MMM 2019</v>
      </c>
      <c r="DH14" s="4" t="str">
        <f>'(Intermediate Computations)'!DR35</f>
        <v>MMM 2019</v>
      </c>
      <c r="DI14" s="4" t="str">
        <f>'(Intermediate Computations)'!DS35</f>
        <v>MMM 2019</v>
      </c>
      <c r="DJ14" s="4" t="str">
        <f>'(Intermediate Computations)'!DT35</f>
        <v>MMM 2019</v>
      </c>
      <c r="DK14" s="4" t="str">
        <f>'(Intermediate Computations)'!DU35</f>
        <v>MMM 2019</v>
      </c>
      <c r="DL14" s="4" t="str">
        <f>'(Intermediate Computations)'!DV35</f>
        <v>MMM 2019</v>
      </c>
      <c r="DM14" s="4" t="str">
        <f>'(Intermediate Computations)'!DW35</f>
        <v>MMM 2019</v>
      </c>
      <c r="DN14" s="4" t="str">
        <f>'(Intermediate Computations)'!DX35</f>
        <v>MMM 2019</v>
      </c>
      <c r="DO14" s="4" t="str">
        <f>'(Intermediate Computations)'!DY35</f>
        <v>MMM 2019</v>
      </c>
      <c r="DP14" s="4" t="str">
        <f>'(Intermediate Computations)'!DZ35</f>
        <v>MMM 2019</v>
      </c>
      <c r="DQ14" s="4" t="str">
        <f>'(Intermediate Computations)'!EB35</f>
        <v>MMM 2020</v>
      </c>
      <c r="DR14" s="4" t="str">
        <f>'(Intermediate Computations)'!EC35</f>
        <v>MMM 2020</v>
      </c>
      <c r="DS14" s="4" t="str">
        <f>'(Intermediate Computations)'!ED35</f>
        <v>MMM 2020</v>
      </c>
      <c r="DT14" s="4" t="str">
        <f>'(Intermediate Computations)'!EE35</f>
        <v>MMM 2020</v>
      </c>
      <c r="DU14" s="4" t="str">
        <f>'(Intermediate Computations)'!EF35</f>
        <v>MMM 2020</v>
      </c>
      <c r="DV14" s="4" t="str">
        <f>'(Intermediate Computations)'!EG35</f>
        <v>MMM 2020</v>
      </c>
      <c r="DW14" s="4" t="str">
        <f>'(Intermediate Computations)'!EH35</f>
        <v>MMM 2020</v>
      </c>
      <c r="DX14" s="4" t="str">
        <f>'(Intermediate Computations)'!EI35</f>
        <v>MMM 2020</v>
      </c>
      <c r="DY14" s="4" t="str">
        <f>'(Intermediate Computations)'!EJ35</f>
        <v>MMM 2020</v>
      </c>
      <c r="DZ14" s="4" t="str">
        <f>'(Intermediate Computations)'!EK35</f>
        <v>MMM 2020</v>
      </c>
      <c r="EA14" s="4" t="str">
        <f>'(Intermediate Computations)'!EL35</f>
        <v>MMM 2020</v>
      </c>
      <c r="EB14" s="4" t="str">
        <f>'(Intermediate Computations)'!EM35</f>
        <v>MMM 2020</v>
      </c>
    </row>
    <row r="15" spans="1:132" ht="12.75" customHeight="1" x14ac:dyDescent="0.2">
      <c r="A15" s="4">
        <f>'(Intermediate Computations)'!B32</f>
        <v>40179</v>
      </c>
      <c r="B15" s="4">
        <f>'(Intermediate Computations)'!C32</f>
        <v>40210</v>
      </c>
      <c r="C15" s="4">
        <f>'(Intermediate Computations)'!D32</f>
        <v>40238</v>
      </c>
      <c r="D15" s="4">
        <f>'(Intermediate Computations)'!E32</f>
        <v>40269</v>
      </c>
      <c r="E15" s="4">
        <f>'(Intermediate Computations)'!F32</f>
        <v>40299</v>
      </c>
      <c r="F15" s="4">
        <f>'(Intermediate Computations)'!G32</f>
        <v>40330</v>
      </c>
      <c r="G15" s="4">
        <f>'(Intermediate Computations)'!H32</f>
        <v>40360</v>
      </c>
      <c r="H15" s="4">
        <f>'(Intermediate Computations)'!I32</f>
        <v>40391</v>
      </c>
      <c r="I15" s="4">
        <f>'(Intermediate Computations)'!J32</f>
        <v>40422</v>
      </c>
      <c r="J15" s="4">
        <f>'(Intermediate Computations)'!K32</f>
        <v>40452</v>
      </c>
      <c r="K15" s="4">
        <f>'(Intermediate Computations)'!L32</f>
        <v>40483</v>
      </c>
      <c r="L15" s="4">
        <f>'(Intermediate Computations)'!M32</f>
        <v>40513</v>
      </c>
      <c r="M15" s="4">
        <f>'(Intermediate Computations)'!O32</f>
        <v>40544</v>
      </c>
      <c r="N15" s="4">
        <f>'(Intermediate Computations)'!P32</f>
        <v>40575</v>
      </c>
      <c r="O15" s="4">
        <f>'(Intermediate Computations)'!Q32</f>
        <v>40603</v>
      </c>
      <c r="P15" s="4">
        <f>'(Intermediate Computations)'!R32</f>
        <v>40634</v>
      </c>
      <c r="Q15" s="4">
        <f>'(Intermediate Computations)'!S32</f>
        <v>40664</v>
      </c>
      <c r="R15" s="4">
        <f>'(Intermediate Computations)'!T32</f>
        <v>40695</v>
      </c>
      <c r="S15" s="4">
        <f>'(Intermediate Computations)'!U32</f>
        <v>40725</v>
      </c>
      <c r="T15" s="4">
        <f>'(Intermediate Computations)'!V32</f>
        <v>40756</v>
      </c>
      <c r="U15" s="4">
        <f>'(Intermediate Computations)'!W32</f>
        <v>40787</v>
      </c>
      <c r="V15" s="4">
        <f>'(Intermediate Computations)'!X32</f>
        <v>40817</v>
      </c>
      <c r="W15" s="4">
        <f>'(Intermediate Computations)'!Y32</f>
        <v>40848</v>
      </c>
      <c r="X15" s="4">
        <f>'(Intermediate Computations)'!Z32</f>
        <v>40878</v>
      </c>
      <c r="Y15" s="4">
        <f>'(Intermediate Computations)'!AB32</f>
        <v>40909</v>
      </c>
      <c r="Z15" s="4">
        <f>'(Intermediate Computations)'!AC32</f>
        <v>40940</v>
      </c>
      <c r="AA15" s="4">
        <f>'(Intermediate Computations)'!AD32</f>
        <v>40969</v>
      </c>
      <c r="AB15" s="4">
        <f>'(Intermediate Computations)'!AE32</f>
        <v>41000</v>
      </c>
      <c r="AC15" s="4">
        <f>'(Intermediate Computations)'!AF32</f>
        <v>41030</v>
      </c>
      <c r="AD15" s="4">
        <f>'(Intermediate Computations)'!AG32</f>
        <v>41061</v>
      </c>
      <c r="AE15" s="4">
        <f>'(Intermediate Computations)'!AH32</f>
        <v>41091</v>
      </c>
      <c r="AF15" s="4">
        <f>'(Intermediate Computations)'!AI32</f>
        <v>41122</v>
      </c>
      <c r="AG15" s="4">
        <f>'(Intermediate Computations)'!AJ32</f>
        <v>41153</v>
      </c>
      <c r="AH15" s="4">
        <f>'(Intermediate Computations)'!AK32</f>
        <v>41183</v>
      </c>
      <c r="AI15" s="4">
        <f>'(Intermediate Computations)'!AL32</f>
        <v>41214</v>
      </c>
      <c r="AJ15" s="4">
        <f>'(Intermediate Computations)'!AM32</f>
        <v>41244</v>
      </c>
      <c r="AK15" s="4">
        <f>'(Intermediate Computations)'!AO32</f>
        <v>41275</v>
      </c>
      <c r="AL15" s="4">
        <f>'(Intermediate Computations)'!AP32</f>
        <v>41306</v>
      </c>
      <c r="AM15" s="4">
        <f>'(Intermediate Computations)'!AQ32</f>
        <v>41334</v>
      </c>
      <c r="AN15" s="4">
        <f>'(Intermediate Computations)'!AR32</f>
        <v>41365</v>
      </c>
      <c r="AO15" s="4">
        <f>'(Intermediate Computations)'!AS32</f>
        <v>41395</v>
      </c>
      <c r="AP15" s="4">
        <f>'(Intermediate Computations)'!AT32</f>
        <v>41426</v>
      </c>
      <c r="AQ15" s="4">
        <f>'(Intermediate Computations)'!AU32</f>
        <v>41456</v>
      </c>
      <c r="AR15" s="4">
        <f>'(Intermediate Computations)'!AV32</f>
        <v>41487</v>
      </c>
      <c r="AS15" s="4">
        <f>'(Intermediate Computations)'!AW32</f>
        <v>41518</v>
      </c>
      <c r="AT15" s="4">
        <f>'(Intermediate Computations)'!AX32</f>
        <v>41548</v>
      </c>
      <c r="AU15" s="4">
        <f>'(Intermediate Computations)'!AY32</f>
        <v>41579</v>
      </c>
      <c r="AV15" s="4">
        <f>'(Intermediate Computations)'!AZ32</f>
        <v>41609</v>
      </c>
      <c r="AW15" s="4">
        <f>'(Intermediate Computations)'!BB32</f>
        <v>41640</v>
      </c>
      <c r="AX15" s="4">
        <f>'(Intermediate Computations)'!BC32</f>
        <v>41671</v>
      </c>
      <c r="AY15" s="4">
        <f>'(Intermediate Computations)'!BD32</f>
        <v>41699</v>
      </c>
      <c r="AZ15" s="4">
        <f>'(Intermediate Computations)'!BE32</f>
        <v>41730</v>
      </c>
      <c r="BA15" s="4">
        <f>'(Intermediate Computations)'!BF32</f>
        <v>41760</v>
      </c>
      <c r="BB15" s="4">
        <f>'(Intermediate Computations)'!BG32</f>
        <v>41791</v>
      </c>
      <c r="BC15" s="4">
        <f>'(Intermediate Computations)'!BH32</f>
        <v>41821</v>
      </c>
      <c r="BD15" s="4">
        <f>'(Intermediate Computations)'!BI32</f>
        <v>41852</v>
      </c>
      <c r="BE15" s="4">
        <f>'(Intermediate Computations)'!BJ32</f>
        <v>41883</v>
      </c>
      <c r="BF15" s="4">
        <f>'(Intermediate Computations)'!BK32</f>
        <v>41913</v>
      </c>
      <c r="BG15" s="4">
        <f>'(Intermediate Computations)'!BL32</f>
        <v>41944</v>
      </c>
      <c r="BH15" s="4">
        <f>'(Intermediate Computations)'!BM32</f>
        <v>41974</v>
      </c>
      <c r="BI15" s="4">
        <f>'(Intermediate Computations)'!BO32</f>
        <v>42005</v>
      </c>
      <c r="BJ15" s="4">
        <f>'(Intermediate Computations)'!BP32</f>
        <v>42036</v>
      </c>
      <c r="BK15" s="4">
        <f>'(Intermediate Computations)'!BQ32</f>
        <v>42064</v>
      </c>
      <c r="BL15" s="4">
        <f>'(Intermediate Computations)'!BR32</f>
        <v>42095</v>
      </c>
      <c r="BM15" s="4">
        <f>'(Intermediate Computations)'!BS32</f>
        <v>42125</v>
      </c>
      <c r="BN15" s="4">
        <f>'(Intermediate Computations)'!BT32</f>
        <v>42156</v>
      </c>
      <c r="BO15" s="4">
        <f>'(Intermediate Computations)'!BU32</f>
        <v>42186</v>
      </c>
      <c r="BP15" s="4">
        <f>'(Intermediate Computations)'!BV32</f>
        <v>42217</v>
      </c>
      <c r="BQ15" s="4">
        <f>'(Intermediate Computations)'!BW32</f>
        <v>42248</v>
      </c>
      <c r="BR15" s="4">
        <f>'(Intermediate Computations)'!BX32</f>
        <v>42278</v>
      </c>
      <c r="BS15" s="4">
        <f>'(Intermediate Computations)'!BY32</f>
        <v>42309</v>
      </c>
      <c r="BT15" s="4">
        <f>'(Intermediate Computations)'!BZ32</f>
        <v>42339</v>
      </c>
      <c r="BU15" s="4">
        <f>'(Intermediate Computations)'!CB32</f>
        <v>42370</v>
      </c>
      <c r="BV15" s="4">
        <f>'(Intermediate Computations)'!CC32</f>
        <v>42401</v>
      </c>
      <c r="BW15" s="4">
        <f>'(Intermediate Computations)'!CD32</f>
        <v>42430</v>
      </c>
      <c r="BX15" s="4">
        <f>'(Intermediate Computations)'!CE32</f>
        <v>42461</v>
      </c>
      <c r="BY15" s="4">
        <f>'(Intermediate Computations)'!CF32</f>
        <v>42491</v>
      </c>
      <c r="BZ15" s="4">
        <f>'(Intermediate Computations)'!CG32</f>
        <v>42522</v>
      </c>
      <c r="CA15" s="4">
        <f>'(Intermediate Computations)'!CH32</f>
        <v>42552</v>
      </c>
      <c r="CB15" s="4">
        <f>'(Intermediate Computations)'!CI32</f>
        <v>42583</v>
      </c>
      <c r="CC15" s="4">
        <f>'(Intermediate Computations)'!CJ32</f>
        <v>42614</v>
      </c>
      <c r="CD15" s="4">
        <f>'(Intermediate Computations)'!CK32</f>
        <v>42644</v>
      </c>
      <c r="CE15" s="4">
        <f>'(Intermediate Computations)'!CL32</f>
        <v>42675</v>
      </c>
      <c r="CF15" s="4">
        <f>'(Intermediate Computations)'!CM32</f>
        <v>42705</v>
      </c>
      <c r="CG15" s="4">
        <f>'(Intermediate Computations)'!CO32</f>
        <v>42736</v>
      </c>
      <c r="CH15" s="4">
        <f>'(Intermediate Computations)'!CP32</f>
        <v>42767</v>
      </c>
      <c r="CI15" s="4">
        <f>'(Intermediate Computations)'!CQ32</f>
        <v>42795</v>
      </c>
      <c r="CJ15" s="4">
        <f>'(Intermediate Computations)'!CR32</f>
        <v>42826</v>
      </c>
      <c r="CK15" s="4">
        <f>'(Intermediate Computations)'!CS32</f>
        <v>42856</v>
      </c>
      <c r="CL15" s="4">
        <f>'(Intermediate Computations)'!CT32</f>
        <v>42887</v>
      </c>
      <c r="CM15" s="4">
        <f>'(Intermediate Computations)'!CU32</f>
        <v>42917</v>
      </c>
      <c r="CN15" s="4">
        <f>'(Intermediate Computations)'!CV32</f>
        <v>42948</v>
      </c>
      <c r="CO15" s="4">
        <f>'(Intermediate Computations)'!CW32</f>
        <v>42979</v>
      </c>
      <c r="CP15" s="4">
        <f>'(Intermediate Computations)'!CX32</f>
        <v>43009</v>
      </c>
      <c r="CQ15" s="4">
        <f>'(Intermediate Computations)'!CY32</f>
        <v>43040</v>
      </c>
      <c r="CR15" s="4">
        <f>'(Intermediate Computations)'!CZ32</f>
        <v>43070</v>
      </c>
      <c r="CS15" s="4">
        <f>'(Intermediate Computations)'!DB32</f>
        <v>43101</v>
      </c>
      <c r="CT15" s="4">
        <f>'(Intermediate Computations)'!DC32</f>
        <v>43132</v>
      </c>
      <c r="CU15" s="4">
        <f>'(Intermediate Computations)'!DD32</f>
        <v>43160</v>
      </c>
      <c r="CV15" s="4">
        <f>'(Intermediate Computations)'!DE32</f>
        <v>43191</v>
      </c>
      <c r="CW15" s="4">
        <f>'(Intermediate Computations)'!DF32</f>
        <v>43221</v>
      </c>
      <c r="CX15" s="4">
        <f>'(Intermediate Computations)'!DG32</f>
        <v>43252</v>
      </c>
      <c r="CY15" s="4">
        <f>'(Intermediate Computations)'!DH32</f>
        <v>43282</v>
      </c>
      <c r="CZ15" s="4">
        <f>'(Intermediate Computations)'!DI32</f>
        <v>43313</v>
      </c>
      <c r="DA15" s="4">
        <f>'(Intermediate Computations)'!DJ32</f>
        <v>43344</v>
      </c>
      <c r="DB15" s="4">
        <f>'(Intermediate Computations)'!DK32</f>
        <v>43374</v>
      </c>
      <c r="DC15" s="4">
        <f>'(Intermediate Computations)'!DL32</f>
        <v>43405</v>
      </c>
      <c r="DD15" s="4">
        <f>'(Intermediate Computations)'!DM32</f>
        <v>43435</v>
      </c>
      <c r="DE15" s="4">
        <f>'(Intermediate Computations)'!DO32</f>
        <v>43466</v>
      </c>
      <c r="DF15" s="4">
        <f>'(Intermediate Computations)'!DP32</f>
        <v>43497</v>
      </c>
      <c r="DG15" s="4">
        <f>'(Intermediate Computations)'!DQ32</f>
        <v>43525</v>
      </c>
      <c r="DH15" s="4">
        <f>'(Intermediate Computations)'!DR32</f>
        <v>43556</v>
      </c>
      <c r="DI15" s="4">
        <f>'(Intermediate Computations)'!DS32</f>
        <v>43586</v>
      </c>
      <c r="DJ15" s="4">
        <f>'(Intermediate Computations)'!DT32</f>
        <v>43617</v>
      </c>
      <c r="DK15" s="4">
        <f>'(Intermediate Computations)'!DU32</f>
        <v>43647</v>
      </c>
      <c r="DL15" s="4">
        <f>'(Intermediate Computations)'!DV32</f>
        <v>43678</v>
      </c>
      <c r="DM15" s="4">
        <f>'(Intermediate Computations)'!DW32</f>
        <v>43709</v>
      </c>
      <c r="DN15" s="4">
        <f>'(Intermediate Computations)'!DX32</f>
        <v>43739</v>
      </c>
      <c r="DO15" s="4">
        <f>'(Intermediate Computations)'!DY32</f>
        <v>43770</v>
      </c>
      <c r="DP15" s="4">
        <f>'(Intermediate Computations)'!DZ32</f>
        <v>43800</v>
      </c>
      <c r="DQ15" s="4">
        <f>'(Intermediate Computations)'!EB32</f>
        <v>43831</v>
      </c>
      <c r="DR15" s="4">
        <f>'(Intermediate Computations)'!EC32</f>
        <v>43862</v>
      </c>
      <c r="DS15" s="4">
        <f>'(Intermediate Computations)'!ED32</f>
        <v>43891</v>
      </c>
      <c r="DT15" s="4">
        <f>'(Intermediate Computations)'!EE32</f>
        <v>43922</v>
      </c>
      <c r="DU15" s="4">
        <f>'(Intermediate Computations)'!EF32</f>
        <v>43952</v>
      </c>
      <c r="DV15" s="4">
        <f>'(Intermediate Computations)'!EG32</f>
        <v>43983</v>
      </c>
      <c r="DW15" s="4">
        <f>'(Intermediate Computations)'!EH32</f>
        <v>44013</v>
      </c>
      <c r="DX15" s="4">
        <f>'(Intermediate Computations)'!EI32</f>
        <v>44044</v>
      </c>
      <c r="DY15" s="4">
        <f>'(Intermediate Computations)'!EJ32</f>
        <v>44075</v>
      </c>
      <c r="DZ15" s="4">
        <f>'(Intermediate Computations)'!EK32</f>
        <v>44105</v>
      </c>
      <c r="EA15" s="4">
        <f>'(Intermediate Computations)'!EL32</f>
        <v>44136</v>
      </c>
      <c r="EB15" s="4">
        <f>'(Intermediate Computations)'!EM32</f>
        <v>44166</v>
      </c>
    </row>
    <row r="16" spans="1:132" ht="12.75" customHeight="1" x14ac:dyDescent="0.2">
      <c r="A16" s="57">
        <f ca="1">Output!B7</f>
        <v>1191258.6665475934</v>
      </c>
      <c r="B16" s="57">
        <f ca="1">Output!C7</f>
        <v>1179163.8146342076</v>
      </c>
      <c r="C16" s="57">
        <f ca="1">Output!D7</f>
        <v>1198502.5948285589</v>
      </c>
      <c r="D16" s="57">
        <f ca="1">Output!E7</f>
        <v>1153400.9526046792</v>
      </c>
      <c r="E16" s="57">
        <f ca="1">Output!F7</f>
        <v>1219000.4625617997</v>
      </c>
      <c r="F16" s="57">
        <f ca="1">Output!G7</f>
        <v>1194071.691563088</v>
      </c>
      <c r="G16" s="57">
        <f ca="1">Output!H7</f>
        <v>1220436.6270985499</v>
      </c>
      <c r="H16" s="57">
        <f ca="1">Output!I7</f>
        <v>1151827.2087257649</v>
      </c>
      <c r="I16" s="57">
        <f ca="1">Output!J7</f>
        <v>1182425.3280228144</v>
      </c>
      <c r="J16" s="57">
        <f ca="1">Output!K7</f>
        <v>1188440.0610920659</v>
      </c>
      <c r="K16" s="57">
        <f ca="1">Output!L7</f>
        <v>1165962.7656749624</v>
      </c>
      <c r="L16" s="57">
        <f ca="1">Output!M7</f>
        <v>1134755.1263466517</v>
      </c>
      <c r="M16" s="57">
        <f ca="1">Output!O7</f>
        <v>1163285.327358298</v>
      </c>
      <c r="N16" s="57">
        <f ca="1">Output!P7</f>
        <v>1133772.3509215759</v>
      </c>
      <c r="O16" s="57">
        <f ca="1">Output!Q7</f>
        <v>1157917.9293246637</v>
      </c>
      <c r="P16" s="57">
        <f ca="1">Output!R7</f>
        <v>1167102.4104336719</v>
      </c>
      <c r="Q16" s="57">
        <f ca="1">Output!S7</f>
        <v>1190691.1702458565</v>
      </c>
      <c r="R16" s="57">
        <f ca="1">Output!T7</f>
        <v>1143080.8364441267</v>
      </c>
      <c r="S16" s="57">
        <f ca="1">Output!U7</f>
        <v>1179199.19755103</v>
      </c>
      <c r="T16" s="57">
        <f ca="1">Output!V7</f>
        <v>1183906.1356955094</v>
      </c>
      <c r="U16" s="57">
        <f ca="1">Output!W7</f>
        <v>1148976.4059871898</v>
      </c>
      <c r="V16" s="57">
        <f ca="1">Output!X7</f>
        <v>1155145.8797601652</v>
      </c>
      <c r="W16" s="57">
        <f ca="1">Output!Y7</f>
        <v>1151556.7663813154</v>
      </c>
      <c r="X16" s="57">
        <f ca="1">Output!Z7</f>
        <v>1161748.4190332694</v>
      </c>
      <c r="Y16" s="57">
        <f ca="1">Output!AB7</f>
        <v>1139715.733922876</v>
      </c>
      <c r="Z16" s="57">
        <f ca="1">Output!AC7</f>
        <v>1189485.763758701</v>
      </c>
      <c r="AA16" s="57">
        <f ca="1">Output!AD7</f>
        <v>1228964.9584291272</v>
      </c>
      <c r="AB16" s="57">
        <f ca="1">Output!AE7</f>
        <v>1162229.4661105266</v>
      </c>
      <c r="AC16" s="57">
        <f ca="1">Output!AF7</f>
        <v>1130678.1261542875</v>
      </c>
      <c r="AD16" s="57">
        <f ca="1">Output!AG7</f>
        <v>1134529.9299497495</v>
      </c>
      <c r="AE16" s="57">
        <f ca="1">Output!AH7</f>
        <v>1189466.1171051292</v>
      </c>
      <c r="AF16" s="57">
        <f ca="1">Output!AI7</f>
        <v>1140426.34661105</v>
      </c>
      <c r="AG16" s="57">
        <f ca="1">Output!AJ7</f>
        <v>1111958.2389834276</v>
      </c>
      <c r="AH16" s="57">
        <f ca="1">Output!AK7</f>
        <v>1198783.9803176124</v>
      </c>
      <c r="AI16" s="57">
        <f ca="1">Output!AL7</f>
        <v>1184811.7037877422</v>
      </c>
      <c r="AJ16" s="57">
        <f ca="1">Output!AM7</f>
        <v>1181283.5020787632</v>
      </c>
      <c r="AK16" s="57">
        <f ca="1">Output!AO7</f>
        <v>1177637.5453314723</v>
      </c>
      <c r="AL16" s="57">
        <f ca="1">Output!AP7</f>
        <v>1208385.1182133269</v>
      </c>
      <c r="AM16" s="57">
        <f ca="1">Output!AQ7</f>
        <v>1179602.3223608674</v>
      </c>
      <c r="AN16" s="57">
        <f ca="1">Output!AR7</f>
        <v>1142635.2510852066</v>
      </c>
      <c r="AO16" s="57">
        <f ca="1">Output!AS7</f>
        <v>1154620.6456927636</v>
      </c>
      <c r="AP16" s="57">
        <f ca="1">Output!AT7</f>
        <v>1216009.1657292957</v>
      </c>
      <c r="AQ16" s="57">
        <f ca="1">Output!AU7</f>
        <v>1155175.1954670239</v>
      </c>
      <c r="AR16" s="57">
        <f ca="1">Output!AV7</f>
        <v>1130593.9753133571</v>
      </c>
      <c r="AS16" s="57">
        <f ca="1">Output!AW7</f>
        <v>1120295.7183423568</v>
      </c>
      <c r="AT16" s="57">
        <f ca="1">Output!AX7</f>
        <v>1197033.9641950587</v>
      </c>
      <c r="AU16" s="57">
        <f ca="1">Output!AY7</f>
        <v>1160044.7635944528</v>
      </c>
      <c r="AV16" s="57">
        <f ca="1">Output!AZ7</f>
        <v>1165761.2603440809</v>
      </c>
      <c r="AW16" s="57">
        <f ca="1">Output!BB7</f>
        <v>1167047.1876659777</v>
      </c>
      <c r="AX16" s="57">
        <f ca="1">Output!BC7</f>
        <v>1182900.0745205367</v>
      </c>
      <c r="AY16" s="57">
        <f ca="1">Output!BD7</f>
        <v>1194853.19475059</v>
      </c>
      <c r="AZ16" s="57">
        <f ca="1">Output!BE7</f>
        <v>1160361.1112947115</v>
      </c>
      <c r="BA16" s="57">
        <f ca="1">Output!BF7</f>
        <v>1219950.3272755737</v>
      </c>
      <c r="BB16" s="57">
        <f ca="1">Output!BG7</f>
        <v>1151502.0274880982</v>
      </c>
      <c r="BC16" s="57">
        <f ca="1">Output!BH7</f>
        <v>1153609.9846862617</v>
      </c>
      <c r="BD16" s="57">
        <f ca="1">Output!BI7</f>
        <v>1138282.9521397869</v>
      </c>
      <c r="BE16" s="57">
        <f ca="1">Output!BJ7</f>
        <v>1152538.9779633579</v>
      </c>
      <c r="BF16" s="57">
        <f ca="1">Output!BK7</f>
        <v>1189136.8204756994</v>
      </c>
      <c r="BG16" s="57">
        <f ca="1">Output!BL7</f>
        <v>1197817.4927487154</v>
      </c>
      <c r="BH16" s="57">
        <f ca="1">Output!BM7</f>
        <v>1169752.8452390118</v>
      </c>
      <c r="BI16" s="57">
        <f ca="1">Output!BO7</f>
        <v>1162160.5845597158</v>
      </c>
      <c r="BJ16" s="57">
        <f ca="1">Output!BP7</f>
        <v>1135112.9180493425</v>
      </c>
      <c r="BK16" s="57">
        <f ca="1">Output!BQ7</f>
        <v>1177387.6979599232</v>
      </c>
      <c r="BL16" s="57">
        <f ca="1">Output!BR7</f>
        <v>1133466.5037751079</v>
      </c>
      <c r="BM16" s="57">
        <f ca="1">Output!BS7</f>
        <v>1209081.9245281196</v>
      </c>
      <c r="BN16" s="57">
        <f ca="1">Output!BT7</f>
        <v>1164025.8002602595</v>
      </c>
      <c r="BO16" s="57">
        <f ca="1">Output!BU7</f>
        <v>1149332.5446124009</v>
      </c>
      <c r="BP16" s="57">
        <f ca="1">Output!BV7</f>
        <v>1156411.123985861</v>
      </c>
      <c r="BQ16" s="57">
        <f ca="1">Output!BW7</f>
        <v>1180463.4362825188</v>
      </c>
      <c r="BR16" s="57">
        <f ca="1">Output!BX7</f>
        <v>1160364.6727905385</v>
      </c>
      <c r="BS16" s="57">
        <f ca="1">Output!BY7</f>
        <v>1225962.4080839446</v>
      </c>
      <c r="BT16" s="57">
        <f ca="1">Output!BZ7</f>
        <v>1217776.0836234631</v>
      </c>
      <c r="BU16" s="57">
        <f ca="1">Output!CB7</f>
        <v>1137176.9594611265</v>
      </c>
      <c r="BV16" s="57">
        <f ca="1">Output!CC7</f>
        <v>1182098.6842826509</v>
      </c>
      <c r="BW16" s="57">
        <f ca="1">Output!CD7</f>
        <v>1177517.1572448208</v>
      </c>
      <c r="BX16" s="57">
        <f ca="1">Output!CE7</f>
        <v>1202460.1689207652</v>
      </c>
      <c r="BY16" s="57">
        <f ca="1">Output!CF7</f>
        <v>1186098.0089571383</v>
      </c>
      <c r="BZ16" s="57">
        <f ca="1">Output!CG7</f>
        <v>1160698.9415818434</v>
      </c>
      <c r="CA16" s="57">
        <f ca="1">Output!CH7</f>
        <v>1136627.450370491</v>
      </c>
      <c r="CB16" s="57">
        <f ca="1">Output!CI7</f>
        <v>1133473.9378486848</v>
      </c>
      <c r="CC16" s="57">
        <f ca="1">Output!CJ7</f>
        <v>1167190.0108039556</v>
      </c>
      <c r="CD16" s="57">
        <f ca="1">Output!CK7</f>
        <v>1201944.0633247122</v>
      </c>
      <c r="CE16" s="57">
        <f ca="1">Output!CL7</f>
        <v>1181246.1785624796</v>
      </c>
      <c r="CF16" s="57">
        <f ca="1">Output!CM7</f>
        <v>1223522.405178335</v>
      </c>
      <c r="CG16" s="57">
        <f ca="1">Output!CO7</f>
        <v>1138554.916041486</v>
      </c>
      <c r="CH16" s="57">
        <f ca="1">Output!CP7</f>
        <v>1124652.9272100576</v>
      </c>
      <c r="CI16" s="57">
        <f ca="1">Output!CQ7</f>
        <v>1185712.4825680377</v>
      </c>
      <c r="CJ16" s="57">
        <f ca="1">Output!CR7</f>
        <v>1197710.6607716924</v>
      </c>
      <c r="CK16" s="57">
        <f ca="1">Output!CS7</f>
        <v>1178515.5933283267</v>
      </c>
      <c r="CL16" s="57">
        <f ca="1">Output!CT7</f>
        <v>1191495.5013866101</v>
      </c>
      <c r="CM16" s="57">
        <f ca="1">Output!CU7</f>
        <v>1132065.23171622</v>
      </c>
      <c r="CN16" s="57">
        <f ca="1">Output!CV7</f>
        <v>1112490.0571250874</v>
      </c>
      <c r="CO16" s="57">
        <f ca="1">Output!CW7</f>
        <v>1129407.4916010222</v>
      </c>
      <c r="CP16" s="57">
        <f ca="1">Output!CX7</f>
        <v>1135934.0707222379</v>
      </c>
      <c r="CQ16" s="57">
        <f ca="1">Output!CY7</f>
        <v>1154140.6142262712</v>
      </c>
      <c r="CR16" s="57">
        <f ca="1">Output!CZ7</f>
        <v>1155443.7009455403</v>
      </c>
      <c r="CS16" s="57">
        <f ca="1">Output!DB7</f>
        <v>1191811.0270396946</v>
      </c>
      <c r="CT16" s="57">
        <f ca="1">Output!DC7</f>
        <v>1174121.6516726995</v>
      </c>
      <c r="CU16" s="57">
        <f ca="1">Output!DD7</f>
        <v>1154576.6771917904</v>
      </c>
      <c r="CV16" s="57">
        <f ca="1">Output!DE7</f>
        <v>1176946.692509617</v>
      </c>
      <c r="CW16" s="57">
        <f ca="1">Output!DF7</f>
        <v>1130976.2545285795</v>
      </c>
      <c r="CX16" s="57">
        <f ca="1">Output!DG7</f>
        <v>1172721.4569243782</v>
      </c>
      <c r="CY16" s="57">
        <f ca="1">Output!DH7</f>
        <v>1166787.5147994498</v>
      </c>
      <c r="CZ16" s="57">
        <f ca="1">Output!DI7</f>
        <v>1115300.5114702238</v>
      </c>
      <c r="DA16" s="57">
        <f ca="1">Output!DJ7</f>
        <v>1163648.7244292328</v>
      </c>
      <c r="DB16" s="57">
        <f ca="1">Output!DK7</f>
        <v>1193327.3140063894</v>
      </c>
      <c r="DC16" s="57">
        <f ca="1">Output!DL7</f>
        <v>1205610.1373640522</v>
      </c>
      <c r="DD16" s="57">
        <f ca="1">Output!DM7</f>
        <v>1169566.1833953683</v>
      </c>
      <c r="DE16" s="57">
        <f ca="1">Output!DO7</f>
        <v>1163036.0612207698</v>
      </c>
      <c r="DF16" s="57">
        <f ca="1">Output!DP7</f>
        <v>1180818.8781292783</v>
      </c>
      <c r="DG16" s="57">
        <f ca="1">Output!DQ7</f>
        <v>1122759.8941649268</v>
      </c>
      <c r="DH16" s="57">
        <f ca="1">Output!DR7</f>
        <v>1140308.9522399767</v>
      </c>
      <c r="DI16" s="57">
        <f ca="1">Output!DS7</f>
        <v>1177378.2807587315</v>
      </c>
      <c r="DJ16" s="57">
        <f ca="1">Output!DT7</f>
        <v>1171636.5792647966</v>
      </c>
      <c r="DK16" s="57">
        <f ca="1">Output!DU7</f>
        <v>1109302.1581094177</v>
      </c>
      <c r="DL16" s="57">
        <f ca="1">Output!DV7</f>
        <v>1194297.1635995426</v>
      </c>
      <c r="DM16" s="57">
        <f ca="1">Output!DW7</f>
        <v>1158231.1683288543</v>
      </c>
      <c r="DN16" s="57">
        <f ca="1">Output!DX7</f>
        <v>1117394.8910511816</v>
      </c>
      <c r="DO16" s="57">
        <f ca="1">Output!DY7</f>
        <v>1219302.9313801632</v>
      </c>
      <c r="DP16" s="57">
        <f ca="1">Output!DZ7</f>
        <v>1177828.3643938256</v>
      </c>
      <c r="DQ16" s="57">
        <f ca="1">Output!EB7</f>
        <v>1179295.7892935118</v>
      </c>
      <c r="DR16" s="57">
        <f ca="1">Output!EC7</f>
        <v>1182225.2531596397</v>
      </c>
      <c r="DS16" s="57">
        <f ca="1">Output!ED7</f>
        <v>1140875.5703666068</v>
      </c>
      <c r="DT16" s="57">
        <f ca="1">Output!EE7</f>
        <v>1129378.4357287649</v>
      </c>
      <c r="DU16" s="57">
        <f ca="1">Output!EF7</f>
        <v>1195513.6550060925</v>
      </c>
      <c r="DV16" s="57">
        <f ca="1">Output!EG7</f>
        <v>1167834.1430978987</v>
      </c>
      <c r="DW16" s="57">
        <f ca="1">Output!EH7</f>
        <v>1179982.7918099076</v>
      </c>
      <c r="DX16" s="57">
        <f ca="1">Output!EI7</f>
        <v>1207665.1951190946</v>
      </c>
      <c r="DY16" s="57">
        <f ca="1">Output!EJ7</f>
        <v>1136763.3846034731</v>
      </c>
      <c r="DZ16" s="57">
        <f ca="1">Output!EK7</f>
        <v>1164951.1275881897</v>
      </c>
      <c r="EA16" s="57">
        <f ca="1">Output!EL7</f>
        <v>1202217.4880542923</v>
      </c>
      <c r="EB16" s="57">
        <f ca="1">Output!EM7</f>
        <v>1199513.6866083387</v>
      </c>
    </row>
    <row r="17" spans="1:132" ht="12.75" customHeight="1" x14ac:dyDescent="0.2">
      <c r="A17" s="4" t="str">
        <f>'(Intermediate Computations)'!B41</f>
        <v>MMM 2010</v>
      </c>
      <c r="B17" s="4" t="str">
        <f>'(Intermediate Computations)'!C41</f>
        <v>MMM 2010</v>
      </c>
      <c r="C17" s="4" t="str">
        <f>'(Intermediate Computations)'!D41</f>
        <v>MMM 2010</v>
      </c>
      <c r="D17" s="4" t="str">
        <f>'(Intermediate Computations)'!E41</f>
        <v>MMM 2010</v>
      </c>
      <c r="E17" s="4" t="str">
        <f>'(Intermediate Computations)'!F41</f>
        <v>MMM 2010</v>
      </c>
      <c r="F17" s="4" t="str">
        <f>'(Intermediate Computations)'!G41</f>
        <v>MMM 2010</v>
      </c>
      <c r="G17" s="4" t="str">
        <f>'(Intermediate Computations)'!H41</f>
        <v>MMM 2010</v>
      </c>
      <c r="H17" s="4" t="str">
        <f>'(Intermediate Computations)'!I41</f>
        <v>MMM 2010</v>
      </c>
      <c r="I17" s="4" t="str">
        <f>'(Intermediate Computations)'!J41</f>
        <v>MMM 2010</v>
      </c>
      <c r="J17" s="4" t="str">
        <f>'(Intermediate Computations)'!K41</f>
        <v>MMM 2010</v>
      </c>
      <c r="K17" s="4" t="str">
        <f>'(Intermediate Computations)'!L41</f>
        <v>MMM 2010</v>
      </c>
      <c r="L17" s="4" t="str">
        <f>'(Intermediate Computations)'!M41</f>
        <v>MMM 2010</v>
      </c>
      <c r="M17" s="4" t="str">
        <f>'(Intermediate Computations)'!O41</f>
        <v>MMM 2011</v>
      </c>
      <c r="N17" s="4" t="str">
        <f>'(Intermediate Computations)'!P41</f>
        <v>MMM 2011</v>
      </c>
      <c r="O17" s="4" t="str">
        <f>'(Intermediate Computations)'!Q41</f>
        <v>MMM 2011</v>
      </c>
      <c r="P17" s="4" t="str">
        <f>'(Intermediate Computations)'!R41</f>
        <v>MMM 2011</v>
      </c>
      <c r="Q17" s="4" t="str">
        <f>'(Intermediate Computations)'!S41</f>
        <v>MMM 2011</v>
      </c>
      <c r="R17" s="4" t="str">
        <f>'(Intermediate Computations)'!T41</f>
        <v>MMM 2011</v>
      </c>
      <c r="S17" s="4" t="str">
        <f>'(Intermediate Computations)'!U41</f>
        <v>MMM 2011</v>
      </c>
      <c r="T17" s="4" t="str">
        <f>'(Intermediate Computations)'!V41</f>
        <v>MMM 2011</v>
      </c>
      <c r="U17" s="4" t="str">
        <f>'(Intermediate Computations)'!W41</f>
        <v>MMM 2011</v>
      </c>
      <c r="V17" s="4" t="str">
        <f>'(Intermediate Computations)'!X41</f>
        <v>MMM 2011</v>
      </c>
      <c r="W17" s="4" t="str">
        <f>'(Intermediate Computations)'!Y41</f>
        <v>MMM 2011</v>
      </c>
      <c r="X17" s="4" t="str">
        <f>'(Intermediate Computations)'!Z41</f>
        <v>MMM 2011</v>
      </c>
      <c r="Y17" s="4" t="str">
        <f>'(Intermediate Computations)'!AB41</f>
        <v>MMM 2012</v>
      </c>
      <c r="Z17" s="4" t="str">
        <f>'(Intermediate Computations)'!AC41</f>
        <v>MMM 2012</v>
      </c>
      <c r="AA17" s="4" t="str">
        <f>'(Intermediate Computations)'!AD41</f>
        <v>MMM 2012</v>
      </c>
      <c r="AB17" s="4" t="str">
        <f>'(Intermediate Computations)'!AE41</f>
        <v>MMM 2012</v>
      </c>
      <c r="AC17" s="4" t="str">
        <f>'(Intermediate Computations)'!AF41</f>
        <v>MMM 2012</v>
      </c>
      <c r="AD17" s="4" t="str">
        <f>'(Intermediate Computations)'!AG41</f>
        <v>MMM 2012</v>
      </c>
      <c r="AE17" s="4" t="str">
        <f>'(Intermediate Computations)'!AH41</f>
        <v>MMM 2012</v>
      </c>
      <c r="AF17" s="4" t="str">
        <f>'(Intermediate Computations)'!AI41</f>
        <v>MMM 2012</v>
      </c>
      <c r="AG17" s="4" t="str">
        <f>'(Intermediate Computations)'!AJ41</f>
        <v>MMM 2012</v>
      </c>
      <c r="AH17" s="4" t="str">
        <f>'(Intermediate Computations)'!AK41</f>
        <v>MMM 2012</v>
      </c>
      <c r="AI17" s="4" t="str">
        <f>'(Intermediate Computations)'!AL41</f>
        <v>MMM 2012</v>
      </c>
      <c r="AJ17" s="4" t="str">
        <f>'(Intermediate Computations)'!AM41</f>
        <v>MMM 2012</v>
      </c>
      <c r="AK17" s="4" t="str">
        <f>'(Intermediate Computations)'!AO41</f>
        <v>MMM 2013</v>
      </c>
      <c r="AL17" s="4" t="str">
        <f>'(Intermediate Computations)'!AP41</f>
        <v>MMM 2013</v>
      </c>
      <c r="AM17" s="4" t="str">
        <f>'(Intermediate Computations)'!AQ41</f>
        <v>MMM 2013</v>
      </c>
      <c r="AN17" s="4" t="str">
        <f>'(Intermediate Computations)'!AR41</f>
        <v>MMM 2013</v>
      </c>
      <c r="AO17" s="4" t="str">
        <f>'(Intermediate Computations)'!AS41</f>
        <v>MMM 2013</v>
      </c>
      <c r="AP17" s="4" t="str">
        <f>'(Intermediate Computations)'!AT41</f>
        <v>MMM 2013</v>
      </c>
      <c r="AQ17" s="4" t="str">
        <f>'(Intermediate Computations)'!AU41</f>
        <v>MMM 2013</v>
      </c>
      <c r="AR17" s="4" t="str">
        <f>'(Intermediate Computations)'!AV41</f>
        <v>MMM 2013</v>
      </c>
      <c r="AS17" s="4" t="str">
        <f>'(Intermediate Computations)'!AW41</f>
        <v>MMM 2013</v>
      </c>
      <c r="AT17" s="4" t="str">
        <f>'(Intermediate Computations)'!AX41</f>
        <v>MMM 2013</v>
      </c>
      <c r="AU17" s="4" t="str">
        <f>'(Intermediate Computations)'!AY41</f>
        <v>MMM 2013</v>
      </c>
      <c r="AV17" s="4" t="str">
        <f>'(Intermediate Computations)'!AZ41</f>
        <v>MMM 2013</v>
      </c>
      <c r="AW17" s="4" t="str">
        <f>'(Intermediate Computations)'!BB41</f>
        <v>MMM 2014</v>
      </c>
      <c r="AX17" s="4" t="str">
        <f>'(Intermediate Computations)'!BC41</f>
        <v>MMM 2014</v>
      </c>
      <c r="AY17" s="4" t="str">
        <f>'(Intermediate Computations)'!BD41</f>
        <v>MMM 2014</v>
      </c>
      <c r="AZ17" s="4" t="str">
        <f>'(Intermediate Computations)'!BE41</f>
        <v>MMM 2014</v>
      </c>
      <c r="BA17" s="4" t="str">
        <f>'(Intermediate Computations)'!BF41</f>
        <v>MMM 2014</v>
      </c>
      <c r="BB17" s="4" t="str">
        <f>'(Intermediate Computations)'!BG41</f>
        <v>MMM 2014</v>
      </c>
      <c r="BC17" s="4" t="str">
        <f>'(Intermediate Computations)'!BH41</f>
        <v>MMM 2014</v>
      </c>
      <c r="BD17" s="4" t="str">
        <f>'(Intermediate Computations)'!BI41</f>
        <v>MMM 2014</v>
      </c>
      <c r="BE17" s="4" t="str">
        <f>'(Intermediate Computations)'!BJ41</f>
        <v>MMM 2014</v>
      </c>
      <c r="BF17" s="4" t="str">
        <f>'(Intermediate Computations)'!BK41</f>
        <v>MMM 2014</v>
      </c>
      <c r="BG17" s="4" t="str">
        <f>'(Intermediate Computations)'!BL41</f>
        <v>MMM 2014</v>
      </c>
      <c r="BH17" s="4" t="str">
        <f>'(Intermediate Computations)'!BM41</f>
        <v>MMM 2014</v>
      </c>
      <c r="BI17" s="4" t="str">
        <f>'(Intermediate Computations)'!BO41</f>
        <v>MMM 2015</v>
      </c>
      <c r="BJ17" s="4" t="str">
        <f>'(Intermediate Computations)'!BP41</f>
        <v>MMM 2015</v>
      </c>
      <c r="BK17" s="4" t="str">
        <f>'(Intermediate Computations)'!BQ41</f>
        <v>MMM 2015</v>
      </c>
      <c r="BL17" s="4" t="str">
        <f>'(Intermediate Computations)'!BR41</f>
        <v>MMM 2015</v>
      </c>
      <c r="BM17" s="4" t="str">
        <f>'(Intermediate Computations)'!BS41</f>
        <v>MMM 2015</v>
      </c>
      <c r="BN17" s="4" t="str">
        <f>'(Intermediate Computations)'!BT41</f>
        <v>MMM 2015</v>
      </c>
      <c r="BO17" s="4" t="str">
        <f>'(Intermediate Computations)'!BU41</f>
        <v>MMM 2015</v>
      </c>
      <c r="BP17" s="4" t="str">
        <f>'(Intermediate Computations)'!BV41</f>
        <v>MMM 2015</v>
      </c>
      <c r="BQ17" s="4" t="str">
        <f>'(Intermediate Computations)'!BW41</f>
        <v>MMM 2015</v>
      </c>
      <c r="BR17" s="4" t="str">
        <f>'(Intermediate Computations)'!BX41</f>
        <v>MMM 2015</v>
      </c>
      <c r="BS17" s="4" t="str">
        <f>'(Intermediate Computations)'!BY41</f>
        <v>MMM 2015</v>
      </c>
      <c r="BT17" s="4" t="str">
        <f>'(Intermediate Computations)'!BZ41</f>
        <v>MMM 2015</v>
      </c>
      <c r="BU17" s="4" t="str">
        <f>'(Intermediate Computations)'!CB41</f>
        <v>MMM 2016</v>
      </c>
      <c r="BV17" s="4" t="str">
        <f>'(Intermediate Computations)'!CC41</f>
        <v>MMM 2016</v>
      </c>
      <c r="BW17" s="4" t="str">
        <f>'(Intermediate Computations)'!CD41</f>
        <v>MMM 2016</v>
      </c>
      <c r="BX17" s="4" t="str">
        <f>'(Intermediate Computations)'!CE41</f>
        <v>MMM 2016</v>
      </c>
      <c r="BY17" s="4" t="str">
        <f>'(Intermediate Computations)'!CF41</f>
        <v>MMM 2016</v>
      </c>
      <c r="BZ17" s="4" t="str">
        <f>'(Intermediate Computations)'!CG41</f>
        <v>MMM 2016</v>
      </c>
      <c r="CA17" s="4" t="str">
        <f>'(Intermediate Computations)'!CH41</f>
        <v>MMM 2016</v>
      </c>
      <c r="CB17" s="4" t="str">
        <f>'(Intermediate Computations)'!CI41</f>
        <v>MMM 2016</v>
      </c>
      <c r="CC17" s="4" t="str">
        <f>'(Intermediate Computations)'!CJ41</f>
        <v>MMM 2016</v>
      </c>
      <c r="CD17" s="4" t="str">
        <f>'(Intermediate Computations)'!CK41</f>
        <v>MMM 2016</v>
      </c>
      <c r="CE17" s="4" t="str">
        <f>'(Intermediate Computations)'!CL41</f>
        <v>MMM 2016</v>
      </c>
      <c r="CF17" s="4" t="str">
        <f>'(Intermediate Computations)'!CM41</f>
        <v>MMM 2016</v>
      </c>
      <c r="CG17" s="4" t="str">
        <f>'(Intermediate Computations)'!CO41</f>
        <v>MMM 2017</v>
      </c>
      <c r="CH17" s="4" t="str">
        <f>'(Intermediate Computations)'!CP41</f>
        <v>MMM 2017</v>
      </c>
      <c r="CI17" s="4" t="str">
        <f>'(Intermediate Computations)'!CQ41</f>
        <v>MMM 2017</v>
      </c>
      <c r="CJ17" s="4" t="str">
        <f>'(Intermediate Computations)'!CR41</f>
        <v>MMM 2017</v>
      </c>
      <c r="CK17" s="4" t="str">
        <f>'(Intermediate Computations)'!CS41</f>
        <v>MMM 2017</v>
      </c>
      <c r="CL17" s="4" t="str">
        <f>'(Intermediate Computations)'!CT41</f>
        <v>MMM 2017</v>
      </c>
      <c r="CM17" s="4" t="str">
        <f>'(Intermediate Computations)'!CU41</f>
        <v>MMM 2017</v>
      </c>
      <c r="CN17" s="4" t="str">
        <f>'(Intermediate Computations)'!CV41</f>
        <v>MMM 2017</v>
      </c>
      <c r="CO17" s="4" t="str">
        <f>'(Intermediate Computations)'!CW41</f>
        <v>MMM 2017</v>
      </c>
      <c r="CP17" s="4" t="str">
        <f>'(Intermediate Computations)'!CX41</f>
        <v>MMM 2017</v>
      </c>
      <c r="CQ17" s="4" t="str">
        <f>'(Intermediate Computations)'!CY41</f>
        <v>MMM 2017</v>
      </c>
      <c r="CR17" s="4" t="str">
        <f>'(Intermediate Computations)'!CZ41</f>
        <v>MMM 2017</v>
      </c>
      <c r="CS17" s="4" t="str">
        <f>'(Intermediate Computations)'!DB41</f>
        <v>MMM 2018</v>
      </c>
      <c r="CT17" s="4" t="str">
        <f>'(Intermediate Computations)'!DC41</f>
        <v>MMM 2018</v>
      </c>
      <c r="CU17" s="4" t="str">
        <f>'(Intermediate Computations)'!DD41</f>
        <v>MMM 2018</v>
      </c>
      <c r="CV17" s="4" t="str">
        <f>'(Intermediate Computations)'!DE41</f>
        <v>MMM 2018</v>
      </c>
      <c r="CW17" s="4" t="str">
        <f>'(Intermediate Computations)'!DF41</f>
        <v>MMM 2018</v>
      </c>
      <c r="CX17" s="4" t="str">
        <f>'(Intermediate Computations)'!DG41</f>
        <v>MMM 2018</v>
      </c>
      <c r="CY17" s="4" t="str">
        <f>'(Intermediate Computations)'!DH41</f>
        <v>MMM 2018</v>
      </c>
      <c r="CZ17" s="4" t="str">
        <f>'(Intermediate Computations)'!DI41</f>
        <v>MMM 2018</v>
      </c>
      <c r="DA17" s="4" t="str">
        <f>'(Intermediate Computations)'!DJ41</f>
        <v>MMM 2018</v>
      </c>
      <c r="DB17" s="4" t="str">
        <f>'(Intermediate Computations)'!DK41</f>
        <v>MMM 2018</v>
      </c>
      <c r="DC17" s="4" t="str">
        <f>'(Intermediate Computations)'!DL41</f>
        <v>MMM 2018</v>
      </c>
      <c r="DD17" s="4" t="str">
        <f>'(Intermediate Computations)'!DM41</f>
        <v>MMM 2018</v>
      </c>
      <c r="DE17" s="4" t="str">
        <f>'(Intermediate Computations)'!DO41</f>
        <v>MMM 2019</v>
      </c>
      <c r="DF17" s="4" t="str">
        <f>'(Intermediate Computations)'!DP41</f>
        <v>MMM 2019</v>
      </c>
      <c r="DG17" s="4" t="str">
        <f>'(Intermediate Computations)'!DQ41</f>
        <v>MMM 2019</v>
      </c>
      <c r="DH17" s="4" t="str">
        <f>'(Intermediate Computations)'!DR41</f>
        <v>MMM 2019</v>
      </c>
      <c r="DI17" s="4" t="str">
        <f>'(Intermediate Computations)'!DS41</f>
        <v>MMM 2019</v>
      </c>
      <c r="DJ17" s="4" t="str">
        <f>'(Intermediate Computations)'!DT41</f>
        <v>MMM 2019</v>
      </c>
      <c r="DK17" s="4" t="str">
        <f>'(Intermediate Computations)'!DU41</f>
        <v>MMM 2019</v>
      </c>
      <c r="DL17" s="4" t="str">
        <f>'(Intermediate Computations)'!DV41</f>
        <v>MMM 2019</v>
      </c>
      <c r="DM17" s="4" t="str">
        <f>'(Intermediate Computations)'!DW41</f>
        <v>MMM 2019</v>
      </c>
      <c r="DN17" s="4" t="str">
        <f>'(Intermediate Computations)'!DX41</f>
        <v>MMM 2019</v>
      </c>
      <c r="DO17" s="4" t="str">
        <f>'(Intermediate Computations)'!DY41</f>
        <v>MMM 2019</v>
      </c>
      <c r="DP17" s="4" t="str">
        <f>'(Intermediate Computations)'!DZ41</f>
        <v>MMM 2019</v>
      </c>
      <c r="DQ17" s="4" t="str">
        <f>'(Intermediate Computations)'!EB41</f>
        <v>MMM 2020</v>
      </c>
      <c r="DR17" s="4" t="str">
        <f>'(Intermediate Computations)'!EC41</f>
        <v>MMM 2020</v>
      </c>
      <c r="DS17" s="4" t="str">
        <f>'(Intermediate Computations)'!ED41</f>
        <v>MMM 2020</v>
      </c>
      <c r="DT17" s="4" t="str">
        <f>'(Intermediate Computations)'!EE41</f>
        <v>MMM 2020</v>
      </c>
      <c r="DU17" s="4" t="str">
        <f>'(Intermediate Computations)'!EF41</f>
        <v>MMM 2020</v>
      </c>
      <c r="DV17" s="4" t="str">
        <f>'(Intermediate Computations)'!EG41</f>
        <v>MMM 2020</v>
      </c>
      <c r="DW17" s="4" t="str">
        <f>'(Intermediate Computations)'!EH41</f>
        <v>MMM 2020</v>
      </c>
      <c r="DX17" s="4" t="str">
        <f>'(Intermediate Computations)'!EI41</f>
        <v>MMM 2020</v>
      </c>
      <c r="DY17" s="4" t="str">
        <f>'(Intermediate Computations)'!EJ41</f>
        <v>MMM 2020</v>
      </c>
      <c r="DZ17" s="4" t="str">
        <f>'(Intermediate Computations)'!EK41</f>
        <v>MMM 2020</v>
      </c>
      <c r="EA17" s="4" t="str">
        <f>'(Intermediate Computations)'!EL41</f>
        <v>MMM 2020</v>
      </c>
      <c r="EB17" s="4" t="str">
        <f>'(Intermediate Computations)'!EM41</f>
        <v>MMM 2020</v>
      </c>
    </row>
    <row r="18" spans="1:132" ht="12.75" customHeight="1" x14ac:dyDescent="0.2">
      <c r="A18" s="4">
        <f>'(Intermediate Computations)'!B38</f>
        <v>40179</v>
      </c>
      <c r="B18" s="4">
        <f>'(Intermediate Computations)'!C38</f>
        <v>40210</v>
      </c>
      <c r="C18" s="4">
        <f>'(Intermediate Computations)'!D38</f>
        <v>40238</v>
      </c>
      <c r="D18" s="4">
        <f>'(Intermediate Computations)'!E38</f>
        <v>40269</v>
      </c>
      <c r="E18" s="4">
        <f>'(Intermediate Computations)'!F38</f>
        <v>40299</v>
      </c>
      <c r="F18" s="4">
        <f>'(Intermediate Computations)'!G38</f>
        <v>40330</v>
      </c>
      <c r="G18" s="4">
        <f>'(Intermediate Computations)'!H38</f>
        <v>40360</v>
      </c>
      <c r="H18" s="4">
        <f>'(Intermediate Computations)'!I38</f>
        <v>40391</v>
      </c>
      <c r="I18" s="4">
        <f>'(Intermediate Computations)'!J38</f>
        <v>40422</v>
      </c>
      <c r="J18" s="4">
        <f>'(Intermediate Computations)'!K38</f>
        <v>40452</v>
      </c>
      <c r="K18" s="4">
        <f>'(Intermediate Computations)'!L38</f>
        <v>40483</v>
      </c>
      <c r="L18" s="4">
        <f>'(Intermediate Computations)'!M38</f>
        <v>40513</v>
      </c>
      <c r="M18" s="4">
        <f>'(Intermediate Computations)'!O38</f>
        <v>40544</v>
      </c>
      <c r="N18" s="4">
        <f>'(Intermediate Computations)'!P38</f>
        <v>40575</v>
      </c>
      <c r="O18" s="4">
        <f>'(Intermediate Computations)'!Q38</f>
        <v>40603</v>
      </c>
      <c r="P18" s="4">
        <f>'(Intermediate Computations)'!R38</f>
        <v>40634</v>
      </c>
      <c r="Q18" s="4">
        <f>'(Intermediate Computations)'!S38</f>
        <v>40664</v>
      </c>
      <c r="R18" s="4">
        <f>'(Intermediate Computations)'!T38</f>
        <v>40695</v>
      </c>
      <c r="S18" s="4">
        <f>'(Intermediate Computations)'!U38</f>
        <v>40725</v>
      </c>
      <c r="T18" s="4">
        <f>'(Intermediate Computations)'!V38</f>
        <v>40756</v>
      </c>
      <c r="U18" s="4">
        <f>'(Intermediate Computations)'!W38</f>
        <v>40787</v>
      </c>
      <c r="V18" s="4">
        <f>'(Intermediate Computations)'!X38</f>
        <v>40817</v>
      </c>
      <c r="W18" s="4">
        <f>'(Intermediate Computations)'!Y38</f>
        <v>40848</v>
      </c>
      <c r="X18" s="4">
        <f>'(Intermediate Computations)'!Z38</f>
        <v>40878</v>
      </c>
      <c r="Y18" s="4">
        <f>'(Intermediate Computations)'!AB38</f>
        <v>40909</v>
      </c>
      <c r="Z18" s="4">
        <f>'(Intermediate Computations)'!AC38</f>
        <v>40940</v>
      </c>
      <c r="AA18" s="4">
        <f>'(Intermediate Computations)'!AD38</f>
        <v>40969</v>
      </c>
      <c r="AB18" s="4">
        <f>'(Intermediate Computations)'!AE38</f>
        <v>41000</v>
      </c>
      <c r="AC18" s="4">
        <f>'(Intermediate Computations)'!AF38</f>
        <v>41030</v>
      </c>
      <c r="AD18" s="4">
        <f>'(Intermediate Computations)'!AG38</f>
        <v>41061</v>
      </c>
      <c r="AE18" s="4">
        <f>'(Intermediate Computations)'!AH38</f>
        <v>41091</v>
      </c>
      <c r="AF18" s="4">
        <f>'(Intermediate Computations)'!AI38</f>
        <v>41122</v>
      </c>
      <c r="AG18" s="4">
        <f>'(Intermediate Computations)'!AJ38</f>
        <v>41153</v>
      </c>
      <c r="AH18" s="4">
        <f>'(Intermediate Computations)'!AK38</f>
        <v>41183</v>
      </c>
      <c r="AI18" s="4">
        <f>'(Intermediate Computations)'!AL38</f>
        <v>41214</v>
      </c>
      <c r="AJ18" s="4">
        <f>'(Intermediate Computations)'!AM38</f>
        <v>41244</v>
      </c>
      <c r="AK18" s="4">
        <f>'(Intermediate Computations)'!AO38</f>
        <v>41275</v>
      </c>
      <c r="AL18" s="4">
        <f>'(Intermediate Computations)'!AP38</f>
        <v>41306</v>
      </c>
      <c r="AM18" s="4">
        <f>'(Intermediate Computations)'!AQ38</f>
        <v>41334</v>
      </c>
      <c r="AN18" s="4">
        <f>'(Intermediate Computations)'!AR38</f>
        <v>41365</v>
      </c>
      <c r="AO18" s="4">
        <f>'(Intermediate Computations)'!AS38</f>
        <v>41395</v>
      </c>
      <c r="AP18" s="4">
        <f>'(Intermediate Computations)'!AT38</f>
        <v>41426</v>
      </c>
      <c r="AQ18" s="4">
        <f>'(Intermediate Computations)'!AU38</f>
        <v>41456</v>
      </c>
      <c r="AR18" s="4">
        <f>'(Intermediate Computations)'!AV38</f>
        <v>41487</v>
      </c>
      <c r="AS18" s="4">
        <f>'(Intermediate Computations)'!AW38</f>
        <v>41518</v>
      </c>
      <c r="AT18" s="4">
        <f>'(Intermediate Computations)'!AX38</f>
        <v>41548</v>
      </c>
      <c r="AU18" s="4">
        <f>'(Intermediate Computations)'!AY38</f>
        <v>41579</v>
      </c>
      <c r="AV18" s="4">
        <f>'(Intermediate Computations)'!AZ38</f>
        <v>41609</v>
      </c>
      <c r="AW18" s="4">
        <f>'(Intermediate Computations)'!BB38</f>
        <v>41640</v>
      </c>
      <c r="AX18" s="4">
        <f>'(Intermediate Computations)'!BC38</f>
        <v>41671</v>
      </c>
      <c r="AY18" s="4">
        <f>'(Intermediate Computations)'!BD38</f>
        <v>41699</v>
      </c>
      <c r="AZ18" s="4">
        <f>'(Intermediate Computations)'!BE38</f>
        <v>41730</v>
      </c>
      <c r="BA18" s="4">
        <f>'(Intermediate Computations)'!BF38</f>
        <v>41760</v>
      </c>
      <c r="BB18" s="4">
        <f>'(Intermediate Computations)'!BG38</f>
        <v>41791</v>
      </c>
      <c r="BC18" s="4">
        <f>'(Intermediate Computations)'!BH38</f>
        <v>41821</v>
      </c>
      <c r="BD18" s="4">
        <f>'(Intermediate Computations)'!BI38</f>
        <v>41852</v>
      </c>
      <c r="BE18" s="4">
        <f>'(Intermediate Computations)'!BJ38</f>
        <v>41883</v>
      </c>
      <c r="BF18" s="4">
        <f>'(Intermediate Computations)'!BK38</f>
        <v>41913</v>
      </c>
      <c r="BG18" s="4">
        <f>'(Intermediate Computations)'!BL38</f>
        <v>41944</v>
      </c>
      <c r="BH18" s="4">
        <f>'(Intermediate Computations)'!BM38</f>
        <v>41974</v>
      </c>
      <c r="BI18" s="4">
        <f>'(Intermediate Computations)'!BO38</f>
        <v>42005</v>
      </c>
      <c r="BJ18" s="4">
        <f>'(Intermediate Computations)'!BP38</f>
        <v>42036</v>
      </c>
      <c r="BK18" s="4">
        <f>'(Intermediate Computations)'!BQ38</f>
        <v>42064</v>
      </c>
      <c r="BL18" s="4">
        <f>'(Intermediate Computations)'!BR38</f>
        <v>42095</v>
      </c>
      <c r="BM18" s="4">
        <f>'(Intermediate Computations)'!BS38</f>
        <v>42125</v>
      </c>
      <c r="BN18" s="4">
        <f>'(Intermediate Computations)'!BT38</f>
        <v>42156</v>
      </c>
      <c r="BO18" s="4">
        <f>'(Intermediate Computations)'!BU38</f>
        <v>42186</v>
      </c>
      <c r="BP18" s="4">
        <f>'(Intermediate Computations)'!BV38</f>
        <v>42217</v>
      </c>
      <c r="BQ18" s="4">
        <f>'(Intermediate Computations)'!BW38</f>
        <v>42248</v>
      </c>
      <c r="BR18" s="4">
        <f>'(Intermediate Computations)'!BX38</f>
        <v>42278</v>
      </c>
      <c r="BS18" s="4">
        <f>'(Intermediate Computations)'!BY38</f>
        <v>42309</v>
      </c>
      <c r="BT18" s="4">
        <f>'(Intermediate Computations)'!BZ38</f>
        <v>42339</v>
      </c>
      <c r="BU18" s="4">
        <f>'(Intermediate Computations)'!CB38</f>
        <v>42370</v>
      </c>
      <c r="BV18" s="4">
        <f>'(Intermediate Computations)'!CC38</f>
        <v>42401</v>
      </c>
      <c r="BW18" s="4">
        <f>'(Intermediate Computations)'!CD38</f>
        <v>42430</v>
      </c>
      <c r="BX18" s="4">
        <f>'(Intermediate Computations)'!CE38</f>
        <v>42461</v>
      </c>
      <c r="BY18" s="4">
        <f>'(Intermediate Computations)'!CF38</f>
        <v>42491</v>
      </c>
      <c r="BZ18" s="4">
        <f>'(Intermediate Computations)'!CG38</f>
        <v>42522</v>
      </c>
      <c r="CA18" s="4">
        <f>'(Intermediate Computations)'!CH38</f>
        <v>42552</v>
      </c>
      <c r="CB18" s="4">
        <f>'(Intermediate Computations)'!CI38</f>
        <v>42583</v>
      </c>
      <c r="CC18" s="4">
        <f>'(Intermediate Computations)'!CJ38</f>
        <v>42614</v>
      </c>
      <c r="CD18" s="4">
        <f>'(Intermediate Computations)'!CK38</f>
        <v>42644</v>
      </c>
      <c r="CE18" s="4">
        <f>'(Intermediate Computations)'!CL38</f>
        <v>42675</v>
      </c>
      <c r="CF18" s="4">
        <f>'(Intermediate Computations)'!CM38</f>
        <v>42705</v>
      </c>
      <c r="CG18" s="4">
        <f>'(Intermediate Computations)'!CO38</f>
        <v>42736</v>
      </c>
      <c r="CH18" s="4">
        <f>'(Intermediate Computations)'!CP38</f>
        <v>42767</v>
      </c>
      <c r="CI18" s="4">
        <f>'(Intermediate Computations)'!CQ38</f>
        <v>42795</v>
      </c>
      <c r="CJ18" s="4">
        <f>'(Intermediate Computations)'!CR38</f>
        <v>42826</v>
      </c>
      <c r="CK18" s="4">
        <f>'(Intermediate Computations)'!CS38</f>
        <v>42856</v>
      </c>
      <c r="CL18" s="4">
        <f>'(Intermediate Computations)'!CT38</f>
        <v>42887</v>
      </c>
      <c r="CM18" s="4">
        <f>'(Intermediate Computations)'!CU38</f>
        <v>42917</v>
      </c>
      <c r="CN18" s="4">
        <f>'(Intermediate Computations)'!CV38</f>
        <v>42948</v>
      </c>
      <c r="CO18" s="4">
        <f>'(Intermediate Computations)'!CW38</f>
        <v>42979</v>
      </c>
      <c r="CP18" s="4">
        <f>'(Intermediate Computations)'!CX38</f>
        <v>43009</v>
      </c>
      <c r="CQ18" s="4">
        <f>'(Intermediate Computations)'!CY38</f>
        <v>43040</v>
      </c>
      <c r="CR18" s="4">
        <f>'(Intermediate Computations)'!CZ38</f>
        <v>43070</v>
      </c>
      <c r="CS18" s="4">
        <f>'(Intermediate Computations)'!DB38</f>
        <v>43101</v>
      </c>
      <c r="CT18" s="4">
        <f>'(Intermediate Computations)'!DC38</f>
        <v>43132</v>
      </c>
      <c r="CU18" s="4">
        <f>'(Intermediate Computations)'!DD38</f>
        <v>43160</v>
      </c>
      <c r="CV18" s="4">
        <f>'(Intermediate Computations)'!DE38</f>
        <v>43191</v>
      </c>
      <c r="CW18" s="4">
        <f>'(Intermediate Computations)'!DF38</f>
        <v>43221</v>
      </c>
      <c r="CX18" s="4">
        <f>'(Intermediate Computations)'!DG38</f>
        <v>43252</v>
      </c>
      <c r="CY18" s="4">
        <f>'(Intermediate Computations)'!DH38</f>
        <v>43282</v>
      </c>
      <c r="CZ18" s="4">
        <f>'(Intermediate Computations)'!DI38</f>
        <v>43313</v>
      </c>
      <c r="DA18" s="4">
        <f>'(Intermediate Computations)'!DJ38</f>
        <v>43344</v>
      </c>
      <c r="DB18" s="4">
        <f>'(Intermediate Computations)'!DK38</f>
        <v>43374</v>
      </c>
      <c r="DC18" s="4">
        <f>'(Intermediate Computations)'!DL38</f>
        <v>43405</v>
      </c>
      <c r="DD18" s="4">
        <f>'(Intermediate Computations)'!DM38</f>
        <v>43435</v>
      </c>
      <c r="DE18" s="4">
        <f>'(Intermediate Computations)'!DO38</f>
        <v>43466</v>
      </c>
      <c r="DF18" s="4">
        <f>'(Intermediate Computations)'!DP38</f>
        <v>43497</v>
      </c>
      <c r="DG18" s="4">
        <f>'(Intermediate Computations)'!DQ38</f>
        <v>43525</v>
      </c>
      <c r="DH18" s="4">
        <f>'(Intermediate Computations)'!DR38</f>
        <v>43556</v>
      </c>
      <c r="DI18" s="4">
        <f>'(Intermediate Computations)'!DS38</f>
        <v>43586</v>
      </c>
      <c r="DJ18" s="4">
        <f>'(Intermediate Computations)'!DT38</f>
        <v>43617</v>
      </c>
      <c r="DK18" s="4">
        <f>'(Intermediate Computations)'!DU38</f>
        <v>43647</v>
      </c>
      <c r="DL18" s="4">
        <f>'(Intermediate Computations)'!DV38</f>
        <v>43678</v>
      </c>
      <c r="DM18" s="4">
        <f>'(Intermediate Computations)'!DW38</f>
        <v>43709</v>
      </c>
      <c r="DN18" s="4">
        <f>'(Intermediate Computations)'!DX38</f>
        <v>43739</v>
      </c>
      <c r="DO18" s="4">
        <f>'(Intermediate Computations)'!DY38</f>
        <v>43770</v>
      </c>
      <c r="DP18" s="4">
        <f>'(Intermediate Computations)'!DZ38</f>
        <v>43800</v>
      </c>
      <c r="DQ18" s="4">
        <f>'(Intermediate Computations)'!EB38</f>
        <v>43831</v>
      </c>
      <c r="DR18" s="4">
        <f>'(Intermediate Computations)'!EC38</f>
        <v>43862</v>
      </c>
      <c r="DS18" s="4">
        <f>'(Intermediate Computations)'!ED38</f>
        <v>43891</v>
      </c>
      <c r="DT18" s="4">
        <f>'(Intermediate Computations)'!EE38</f>
        <v>43922</v>
      </c>
      <c r="DU18" s="4">
        <f>'(Intermediate Computations)'!EF38</f>
        <v>43952</v>
      </c>
      <c r="DV18" s="4">
        <f>'(Intermediate Computations)'!EG38</f>
        <v>43983</v>
      </c>
      <c r="DW18" s="4">
        <f>'(Intermediate Computations)'!EH38</f>
        <v>44013</v>
      </c>
      <c r="DX18" s="4">
        <f>'(Intermediate Computations)'!EI38</f>
        <v>44044</v>
      </c>
      <c r="DY18" s="4">
        <f>'(Intermediate Computations)'!EJ38</f>
        <v>44075</v>
      </c>
      <c r="DZ18" s="4">
        <f>'(Intermediate Computations)'!EK38</f>
        <v>44105</v>
      </c>
      <c r="EA18" s="4">
        <f>'(Intermediate Computations)'!EL38</f>
        <v>44136</v>
      </c>
      <c r="EB18" s="4">
        <f>'(Intermediate Computations)'!EM38</f>
        <v>44166</v>
      </c>
    </row>
    <row r="19" spans="1:132" ht="12.75" customHeight="1" x14ac:dyDescent="0.2">
      <c r="A19" s="57">
        <f>Output!B9</f>
        <v>1166666.6666666667</v>
      </c>
      <c r="B19" s="57">
        <f>Output!C9</f>
        <v>1166666.6666666667</v>
      </c>
      <c r="C19" s="57">
        <f ca="1">Output!D9</f>
        <v>1166666.1798691018</v>
      </c>
      <c r="D19" s="57">
        <f ca="1">Output!E9</f>
        <v>1166659.5603848167</v>
      </c>
      <c r="E19" s="57">
        <f ca="1">Output!F9</f>
        <v>1166662.5773797636</v>
      </c>
      <c r="F19" s="57">
        <f ca="1">Output!G9</f>
        <v>1166676.6911798539</v>
      </c>
      <c r="G19" s="57">
        <f ca="1">Output!H9</f>
        <v>1166679.8035518089</v>
      </c>
      <c r="H19" s="57">
        <f ca="1">Output!I9</f>
        <v>1166684.0971819004</v>
      </c>
      <c r="I19" s="57">
        <f ca="1">Output!J9</f>
        <v>1166686.3573784959</v>
      </c>
      <c r="J19" s="57">
        <f ca="1">Output!K9</f>
        <v>1166690.2716867966</v>
      </c>
      <c r="K19" s="57">
        <f ca="1">Output!L9</f>
        <v>1166698.700421425</v>
      </c>
      <c r="L19" s="57">
        <f ca="1">Output!M9</f>
        <v>1166707.9537292814</v>
      </c>
      <c r="M19" s="57">
        <f ca="1">Output!O9</f>
        <v>1166719.8355527811</v>
      </c>
      <c r="N19" s="57">
        <f ca="1">Output!P9</f>
        <v>1166734.7542206601</v>
      </c>
      <c r="O19" s="57">
        <f ca="1">Output!Q9</f>
        <v>1166745.8543474276</v>
      </c>
      <c r="P19" s="57">
        <f ca="1">Output!R9</f>
        <v>1166766.3048064189</v>
      </c>
      <c r="Q19" s="57">
        <f ca="1">Output!S9</f>
        <v>1166778.5851750651</v>
      </c>
      <c r="R19" s="57">
        <f ca="1">Output!T9</f>
        <v>1166796.8037315996</v>
      </c>
      <c r="S19" s="57">
        <f ca="1">Output!U9</f>
        <v>1166824.5880356322</v>
      </c>
      <c r="T19" s="57">
        <f ca="1">Output!V9</f>
        <v>1166863.2687304087</v>
      </c>
      <c r="U19" s="57">
        <f ca="1">Output!W9</f>
        <v>1166888.8197678803</v>
      </c>
      <c r="V19" s="57">
        <f ca="1">Output!X9</f>
        <v>1166914.7284832529</v>
      </c>
      <c r="W19" s="57">
        <f ca="1">Output!Y9</f>
        <v>1166948.0980168988</v>
      </c>
      <c r="X19" s="57">
        <f ca="1">Output!Z9</f>
        <v>1166969.9403290616</v>
      </c>
      <c r="Y19" s="57">
        <f ca="1">Output!AB9</f>
        <v>1166994.8283219689</v>
      </c>
      <c r="Z19" s="57">
        <f ca="1">Output!AC9</f>
        <v>1167018.8628793329</v>
      </c>
      <c r="AA19" s="57">
        <f ca="1">Output!AD9</f>
        <v>1167048.1517363621</v>
      </c>
      <c r="AB19" s="57">
        <f ca="1">Output!AE9</f>
        <v>1167083.9856185697</v>
      </c>
      <c r="AC19" s="57">
        <f ca="1">Output!AF9</f>
        <v>1167122.4152296409</v>
      </c>
      <c r="AD19" s="57">
        <f ca="1">Output!AG9</f>
        <v>1167168.0518426425</v>
      </c>
      <c r="AE19" s="57">
        <f ca="1">Output!AH9</f>
        <v>1167220.6714606299</v>
      </c>
      <c r="AF19" s="57">
        <f ca="1">Output!AI9</f>
        <v>1167270.6533627475</v>
      </c>
      <c r="AG19" s="57">
        <f ca="1">Output!AJ9</f>
        <v>1167315.7163815654</v>
      </c>
      <c r="AH19" s="57">
        <f ca="1">Output!AK9</f>
        <v>1167355.5959323689</v>
      </c>
      <c r="AI19" s="57">
        <f ca="1">Output!AL9</f>
        <v>1167401.0136285492</v>
      </c>
      <c r="AJ19" s="57">
        <f ca="1">Output!AM9</f>
        <v>1167438.3217090904</v>
      </c>
      <c r="AK19" s="57">
        <f ca="1">Output!AO9</f>
        <v>1167474.7398328804</v>
      </c>
      <c r="AL19" s="57">
        <f ca="1">Output!AP9</f>
        <v>1167507.4188257814</v>
      </c>
      <c r="AM19" s="57">
        <f ca="1">Output!AQ9</f>
        <v>1167538.0574071635</v>
      </c>
      <c r="AN19" s="57">
        <f ca="1">Output!AR9</f>
        <v>1167567.9958956202</v>
      </c>
      <c r="AO19" s="57">
        <f ca="1">Output!AS9</f>
        <v>1167589.5020073981</v>
      </c>
      <c r="AP19" s="57">
        <f ca="1">Output!AT9</f>
        <v>1167612.998448519</v>
      </c>
      <c r="AQ19" s="57">
        <f ca="1">Output!AU9</f>
        <v>1167633.9685282363</v>
      </c>
      <c r="AR19" s="57">
        <f ca="1">Output!AV9</f>
        <v>1167657.7026812665</v>
      </c>
      <c r="AS19" s="57">
        <f ca="1">Output!AW9</f>
        <v>1167685.0577672608</v>
      </c>
      <c r="AT19" s="57">
        <f ca="1">Output!AX9</f>
        <v>1167713.0250293936</v>
      </c>
      <c r="AU19" s="57">
        <f ca="1">Output!AY9</f>
        <v>1167750.2857269053</v>
      </c>
      <c r="AV19" s="57">
        <f ca="1">Output!AZ9</f>
        <v>1167780.4923456882</v>
      </c>
      <c r="AW19" s="57">
        <f ca="1">Output!BB9</f>
        <v>1167802.6988503486</v>
      </c>
      <c r="AX19" s="57">
        <f ca="1">Output!BC9</f>
        <v>1167833.7133537265</v>
      </c>
      <c r="AY19" s="57">
        <f ca="1">Output!BD9</f>
        <v>1167874.0549145772</v>
      </c>
      <c r="AZ19" s="57">
        <f ca="1">Output!BE9</f>
        <v>1167907.5838009843</v>
      </c>
      <c r="BA19" s="57">
        <f ca="1">Output!BF9</f>
        <v>1167934.6387106564</v>
      </c>
      <c r="BB19" s="57">
        <f ca="1">Output!BG9</f>
        <v>1167963.1862910562</v>
      </c>
      <c r="BC19" s="57">
        <f ca="1">Output!BH9</f>
        <v>1167983.025738229</v>
      </c>
      <c r="BD19" s="57">
        <f ca="1">Output!BI9</f>
        <v>1167997.9977004572</v>
      </c>
      <c r="BE19" s="57">
        <f ca="1">Output!BJ9</f>
        <v>1168011.7671001677</v>
      </c>
      <c r="BF19" s="57">
        <f ca="1">Output!BK9</f>
        <v>1168021.2050172165</v>
      </c>
      <c r="BG19" s="57">
        <f ca="1">Output!BL9</f>
        <v>1168039.88466716</v>
      </c>
      <c r="BH19" s="57">
        <f ca="1">Output!BM9</f>
        <v>1168052.187263258</v>
      </c>
      <c r="BI19" s="57">
        <f ca="1">Output!BO9</f>
        <v>1168073.1024105418</v>
      </c>
      <c r="BJ19" s="57">
        <f ca="1">Output!BP9</f>
        <v>1168083.5415647912</v>
      </c>
      <c r="BK19" s="57">
        <f ca="1">Output!BQ9</f>
        <v>1168100.1322963766</v>
      </c>
      <c r="BL19" s="57">
        <f ca="1">Output!BR9</f>
        <v>1168125.8245659648</v>
      </c>
      <c r="BM19" s="57">
        <f ca="1">Output!BS9</f>
        <v>1168149.2954704887</v>
      </c>
      <c r="BN19" s="57">
        <f ca="1">Output!BT9</f>
        <v>1168166.2421503407</v>
      </c>
      <c r="BO19" s="57">
        <f ca="1">Output!BU9</f>
        <v>1168194.5987414022</v>
      </c>
      <c r="BP19" s="57">
        <f ca="1">Output!BV9</f>
        <v>1168216.0856440957</v>
      </c>
      <c r="BQ19" s="57">
        <f ca="1">Output!BW9</f>
        <v>1168243.9626349346</v>
      </c>
      <c r="BR19" s="57">
        <f ca="1">Output!BX9</f>
        <v>1168274.868325046</v>
      </c>
      <c r="BS19" s="57">
        <f ca="1">Output!BY9</f>
        <v>1168313.6072775749</v>
      </c>
      <c r="BT19" s="57">
        <f ca="1">Output!BZ9</f>
        <v>1168349.3206520183</v>
      </c>
      <c r="BU19" s="57">
        <f ca="1">Output!CB9</f>
        <v>1168376.1622364316</v>
      </c>
      <c r="BV19" s="57">
        <f ca="1">Output!CC9</f>
        <v>1168403.4145813175</v>
      </c>
      <c r="BW19" s="57">
        <f ca="1">Output!CD9</f>
        <v>1168426.9303466568</v>
      </c>
      <c r="BX19" s="57">
        <f ca="1">Output!CE9</f>
        <v>1168446.4688042125</v>
      </c>
      <c r="BY19" s="57">
        <f ca="1">Output!CF9</f>
        <v>1168462.4751160443</v>
      </c>
      <c r="BZ19" s="57">
        <f ca="1">Output!CG9</f>
        <v>1168476.3116673194</v>
      </c>
      <c r="CA19" s="57">
        <f ca="1">Output!CH9</f>
        <v>1168494.6450391358</v>
      </c>
      <c r="CB19" s="57">
        <f ca="1">Output!CI9</f>
        <v>1168508.4348386726</v>
      </c>
      <c r="CC19" s="57">
        <f ca="1">Output!CJ9</f>
        <v>1168515.6974638919</v>
      </c>
      <c r="CD19" s="57">
        <f ca="1">Output!CK9</f>
        <v>1168516.0946709674</v>
      </c>
      <c r="CE19" s="57">
        <f ca="1">Output!CL9</f>
        <v>1168515.6168845508</v>
      </c>
      <c r="CF19" s="57">
        <f ca="1">Output!CM9</f>
        <v>1168507.949781023</v>
      </c>
      <c r="CG19" s="57">
        <f ca="1">Output!CO9</f>
        <v>1168505.8047302081</v>
      </c>
      <c r="CH19" s="57">
        <f ca="1">Output!CP9</f>
        <v>1168506.4256703116</v>
      </c>
      <c r="CI19" s="57">
        <f ca="1">Output!CQ9</f>
        <v>1168498.4624579737</v>
      </c>
      <c r="CJ19" s="57">
        <f ca="1">Output!CR9</f>
        <v>1168481.2215479317</v>
      </c>
      <c r="CK19" s="57">
        <f ca="1">Output!CS9</f>
        <v>1168458.8877692195</v>
      </c>
      <c r="CL19" s="57">
        <f ca="1">Output!CT9</f>
        <v>1168433.9698508719</v>
      </c>
      <c r="CM19" s="57">
        <f ca="1">Output!CU9</f>
        <v>1168405.7390536391</v>
      </c>
      <c r="CN19" s="57">
        <f ca="1">Output!CV9</f>
        <v>1168377.5732873457</v>
      </c>
      <c r="CO19" s="57">
        <f ca="1">Output!CW9</f>
        <v>1168355.6886781484</v>
      </c>
      <c r="CP19" s="57">
        <f ca="1">Output!CX9</f>
        <v>1168337.5762360948</v>
      </c>
      <c r="CQ19" s="57">
        <f ca="1">Output!CY9</f>
        <v>1168324.0893372577</v>
      </c>
      <c r="CR19" s="57">
        <f ca="1">Output!CZ9</f>
        <v>1168307.6451018979</v>
      </c>
      <c r="CS19" s="57">
        <f ca="1">Output!DB9</f>
        <v>1168291.6171200727</v>
      </c>
      <c r="CT19" s="57">
        <f ca="1">Output!DC9</f>
        <v>1168282.7990557386</v>
      </c>
      <c r="CU19" s="57">
        <f ca="1">Output!DD9</f>
        <v>1168276.8515654455</v>
      </c>
      <c r="CV19" s="57">
        <f ca="1">Output!DE9</f>
        <v>1168273.3802887574</v>
      </c>
      <c r="CW19" s="57">
        <f ca="1">Output!DF9</f>
        <v>1168259.9542263744</v>
      </c>
      <c r="CX19" s="57">
        <f ca="1">Output!DG9</f>
        <v>1168237.8780783308</v>
      </c>
      <c r="CY19" s="57">
        <f ca="1">Output!DH9</f>
        <v>1168213.5556734372</v>
      </c>
      <c r="CZ19" s="57">
        <f ca="1">Output!DI9</f>
        <v>1168191.5646508192</v>
      </c>
      <c r="DA19" s="57">
        <f ca="1">Output!DJ9</f>
        <v>1168163.8125737943</v>
      </c>
      <c r="DB19" s="57">
        <f ca="1">Output!DK9</f>
        <v>1168130.7435352213</v>
      </c>
      <c r="DC19" s="57">
        <f ca="1">Output!DL9</f>
        <v>1168100.1499649487</v>
      </c>
      <c r="DD19" s="57">
        <f ca="1">Output!DM9</f>
        <v>1168071.4058531506</v>
      </c>
      <c r="DE19" s="57">
        <f ca="1">Output!DO9</f>
        <v>1168048.1879931414</v>
      </c>
      <c r="DF19" s="57">
        <f ca="1">Output!DP9</f>
        <v>1168013.4775275709</v>
      </c>
      <c r="DG19" s="57">
        <f ca="1">Output!DQ9</f>
        <v>1167982.5333586396</v>
      </c>
      <c r="DH19" s="57">
        <f ca="1">Output!DR9</f>
        <v>1167948.3260501688</v>
      </c>
      <c r="DI19" s="57">
        <f ca="1">Output!DS9</f>
        <v>1167908.0269273436</v>
      </c>
      <c r="DJ19" s="57">
        <f ca="1">Output!DT9</f>
        <v>1167873.9142192749</v>
      </c>
      <c r="DK19" s="57">
        <f ca="1">Output!DU9</f>
        <v>1167840.0200935109</v>
      </c>
      <c r="DL19" s="57">
        <f ca="1">Output!DV9</f>
        <v>1167798.8313311248</v>
      </c>
      <c r="DM19" s="57">
        <f ca="1">Output!DW9</f>
        <v>1167766.9964048469</v>
      </c>
      <c r="DN19" s="57">
        <f ca="1">Output!DX9</f>
        <v>1167739.3858332629</v>
      </c>
      <c r="DO19" s="57">
        <f ca="1">Output!DY9</f>
        <v>1167703.8211599791</v>
      </c>
      <c r="DP19" s="57">
        <f ca="1">Output!DZ9</f>
        <v>1167671.8944686549</v>
      </c>
      <c r="DQ19" s="57">
        <f ca="1">Output!EB9</f>
        <v>1167641.8704568837</v>
      </c>
      <c r="DR19" s="57">
        <f ca="1">Output!EC9</f>
        <v>1167619.4776474475</v>
      </c>
      <c r="DS19" s="57">
        <f ca="1">Output!ED9</f>
        <v>1167588.6187877071</v>
      </c>
      <c r="DT19" s="57">
        <f ca="1">Output!EE9</f>
        <v>1167550.3684237066</v>
      </c>
      <c r="DU19" s="57">
        <f ca="1">Output!EF9</f>
        <v>1167515.63246851</v>
      </c>
      <c r="DV19" s="57">
        <f ca="1">Output!EG9</f>
        <v>1167474.332803692</v>
      </c>
      <c r="DW19" s="57">
        <f ca="1">Output!EH9</f>
        <v>1167442.6711813835</v>
      </c>
      <c r="DX19" s="57">
        <f ca="1">Output!EI9</f>
        <v>1167408.7204736776</v>
      </c>
      <c r="DY19" s="57">
        <f ca="1">Output!EJ9</f>
        <v>1167364.5046313712</v>
      </c>
      <c r="DZ19" s="57">
        <f ca="1">Output!EK9</f>
        <v>1167323.6798489415</v>
      </c>
      <c r="EA19" s="57">
        <f ca="1">Output!EL9</f>
        <v>1167273.1333839542</v>
      </c>
      <c r="EB19" s="57">
        <f ca="1">Output!EM9</f>
        <v>1167230.8286007519</v>
      </c>
    </row>
    <row r="20" spans="1:132" ht="12.75" customHeight="1" x14ac:dyDescent="0.2">
      <c r="A20" s="4" t="str">
        <f>'(Intermediate Computations)'!B47</f>
        <v>MMM 2010</v>
      </c>
      <c r="B20" s="4" t="str">
        <f>'(Intermediate Computations)'!C47</f>
        <v>MMM 2010</v>
      </c>
      <c r="C20" s="4" t="str">
        <f>'(Intermediate Computations)'!D47</f>
        <v>MMM 2010</v>
      </c>
      <c r="D20" s="4" t="str">
        <f>'(Intermediate Computations)'!E47</f>
        <v>MMM 2010</v>
      </c>
      <c r="E20" s="4" t="str">
        <f>'(Intermediate Computations)'!F47</f>
        <v>MMM 2010</v>
      </c>
      <c r="F20" s="4" t="str">
        <f>'(Intermediate Computations)'!G47</f>
        <v>MMM 2010</v>
      </c>
      <c r="G20" s="4" t="str">
        <f>'(Intermediate Computations)'!H47</f>
        <v>MMM 2010</v>
      </c>
      <c r="H20" s="4" t="str">
        <f>'(Intermediate Computations)'!I47</f>
        <v>MMM 2010</v>
      </c>
      <c r="I20" s="4" t="str">
        <f>'(Intermediate Computations)'!J47</f>
        <v>MMM 2010</v>
      </c>
      <c r="J20" s="4" t="str">
        <f>'(Intermediate Computations)'!K47</f>
        <v>MMM 2010</v>
      </c>
      <c r="K20" s="4" t="str">
        <f>'(Intermediate Computations)'!L47</f>
        <v>MMM 2010</v>
      </c>
      <c r="L20" s="4" t="str">
        <f>'(Intermediate Computations)'!M47</f>
        <v>MMM 2010</v>
      </c>
      <c r="M20" s="4" t="str">
        <f>'(Intermediate Computations)'!O47</f>
        <v>MMM 2011</v>
      </c>
      <c r="N20" s="4" t="str">
        <f>'(Intermediate Computations)'!P47</f>
        <v>MMM 2011</v>
      </c>
      <c r="O20" s="4" t="str">
        <f>'(Intermediate Computations)'!Q47</f>
        <v>MMM 2011</v>
      </c>
      <c r="P20" s="4" t="str">
        <f>'(Intermediate Computations)'!R47</f>
        <v>MMM 2011</v>
      </c>
      <c r="Q20" s="4" t="str">
        <f>'(Intermediate Computations)'!S47</f>
        <v>MMM 2011</v>
      </c>
      <c r="R20" s="4" t="str">
        <f>'(Intermediate Computations)'!T47</f>
        <v>MMM 2011</v>
      </c>
      <c r="S20" s="4" t="str">
        <f>'(Intermediate Computations)'!U47</f>
        <v>MMM 2011</v>
      </c>
      <c r="T20" s="4" t="str">
        <f>'(Intermediate Computations)'!V47</f>
        <v>MMM 2011</v>
      </c>
      <c r="U20" s="4" t="str">
        <f>'(Intermediate Computations)'!W47</f>
        <v>MMM 2011</v>
      </c>
      <c r="V20" s="4" t="str">
        <f>'(Intermediate Computations)'!X47</f>
        <v>MMM 2011</v>
      </c>
      <c r="W20" s="4" t="str">
        <f>'(Intermediate Computations)'!Y47</f>
        <v>MMM 2011</v>
      </c>
      <c r="X20" s="4" t="str">
        <f>'(Intermediate Computations)'!Z47</f>
        <v>MMM 2011</v>
      </c>
      <c r="Y20" s="4" t="str">
        <f>'(Intermediate Computations)'!AB47</f>
        <v>MMM 2012</v>
      </c>
      <c r="Z20" s="4" t="str">
        <f>'(Intermediate Computations)'!AC47</f>
        <v>MMM 2012</v>
      </c>
      <c r="AA20" s="4" t="str">
        <f>'(Intermediate Computations)'!AD47</f>
        <v>MMM 2012</v>
      </c>
      <c r="AB20" s="4" t="str">
        <f>'(Intermediate Computations)'!AE47</f>
        <v>MMM 2012</v>
      </c>
      <c r="AC20" s="4" t="str">
        <f>'(Intermediate Computations)'!AF47</f>
        <v>MMM 2012</v>
      </c>
      <c r="AD20" s="4" t="str">
        <f>'(Intermediate Computations)'!AG47</f>
        <v>MMM 2012</v>
      </c>
      <c r="AE20" s="4" t="str">
        <f>'(Intermediate Computations)'!AH47</f>
        <v>MMM 2012</v>
      </c>
      <c r="AF20" s="4" t="str">
        <f>'(Intermediate Computations)'!AI47</f>
        <v>MMM 2012</v>
      </c>
      <c r="AG20" s="4" t="str">
        <f>'(Intermediate Computations)'!AJ47</f>
        <v>MMM 2012</v>
      </c>
      <c r="AH20" s="4" t="str">
        <f>'(Intermediate Computations)'!AK47</f>
        <v>MMM 2012</v>
      </c>
      <c r="AI20" s="4" t="str">
        <f>'(Intermediate Computations)'!AL47</f>
        <v>MMM 2012</v>
      </c>
      <c r="AJ20" s="4" t="str">
        <f>'(Intermediate Computations)'!AM47</f>
        <v>MMM 2012</v>
      </c>
      <c r="AK20" s="4" t="str">
        <f>'(Intermediate Computations)'!AO47</f>
        <v>MMM 2013</v>
      </c>
      <c r="AL20" s="4" t="str">
        <f>'(Intermediate Computations)'!AP47</f>
        <v>MMM 2013</v>
      </c>
      <c r="AM20" s="4" t="str">
        <f>'(Intermediate Computations)'!AQ47</f>
        <v>MMM 2013</v>
      </c>
      <c r="AN20" s="4" t="str">
        <f>'(Intermediate Computations)'!AR47</f>
        <v>MMM 2013</v>
      </c>
      <c r="AO20" s="4" t="str">
        <f>'(Intermediate Computations)'!AS47</f>
        <v>MMM 2013</v>
      </c>
      <c r="AP20" s="4" t="str">
        <f>'(Intermediate Computations)'!AT47</f>
        <v>MMM 2013</v>
      </c>
      <c r="AQ20" s="4" t="str">
        <f>'(Intermediate Computations)'!AU47</f>
        <v>MMM 2013</v>
      </c>
      <c r="AR20" s="4" t="str">
        <f>'(Intermediate Computations)'!AV47</f>
        <v>MMM 2013</v>
      </c>
      <c r="AS20" s="4" t="str">
        <f>'(Intermediate Computations)'!AW47</f>
        <v>MMM 2013</v>
      </c>
      <c r="AT20" s="4" t="str">
        <f>'(Intermediate Computations)'!AX47</f>
        <v>MMM 2013</v>
      </c>
      <c r="AU20" s="4" t="str">
        <f>'(Intermediate Computations)'!AY47</f>
        <v>MMM 2013</v>
      </c>
      <c r="AV20" s="4" t="str">
        <f>'(Intermediate Computations)'!AZ47</f>
        <v>MMM 2013</v>
      </c>
      <c r="AW20" s="4" t="str">
        <f>'(Intermediate Computations)'!BB47</f>
        <v>MMM 2014</v>
      </c>
      <c r="AX20" s="4" t="str">
        <f>'(Intermediate Computations)'!BC47</f>
        <v>MMM 2014</v>
      </c>
      <c r="AY20" s="4" t="str">
        <f>'(Intermediate Computations)'!BD47</f>
        <v>MMM 2014</v>
      </c>
      <c r="AZ20" s="4" t="str">
        <f>'(Intermediate Computations)'!BE47</f>
        <v>MMM 2014</v>
      </c>
      <c r="BA20" s="4" t="str">
        <f>'(Intermediate Computations)'!BF47</f>
        <v>MMM 2014</v>
      </c>
      <c r="BB20" s="4" t="str">
        <f>'(Intermediate Computations)'!BG47</f>
        <v>MMM 2014</v>
      </c>
      <c r="BC20" s="4" t="str">
        <f>'(Intermediate Computations)'!BH47</f>
        <v>MMM 2014</v>
      </c>
      <c r="BD20" s="4" t="str">
        <f>'(Intermediate Computations)'!BI47</f>
        <v>MMM 2014</v>
      </c>
      <c r="BE20" s="4" t="str">
        <f>'(Intermediate Computations)'!BJ47</f>
        <v>MMM 2014</v>
      </c>
      <c r="BF20" s="4" t="str">
        <f>'(Intermediate Computations)'!BK47</f>
        <v>MMM 2014</v>
      </c>
      <c r="BG20" s="4" t="str">
        <f>'(Intermediate Computations)'!BL47</f>
        <v>MMM 2014</v>
      </c>
      <c r="BH20" s="4" t="str">
        <f>'(Intermediate Computations)'!BM47</f>
        <v>MMM 2014</v>
      </c>
      <c r="BI20" s="4" t="str">
        <f>'(Intermediate Computations)'!BO47</f>
        <v>MMM 2015</v>
      </c>
      <c r="BJ20" s="4" t="str">
        <f>'(Intermediate Computations)'!BP47</f>
        <v>MMM 2015</v>
      </c>
      <c r="BK20" s="4" t="str">
        <f>'(Intermediate Computations)'!BQ47</f>
        <v>MMM 2015</v>
      </c>
      <c r="BL20" s="4" t="str">
        <f>'(Intermediate Computations)'!BR47</f>
        <v>MMM 2015</v>
      </c>
      <c r="BM20" s="4" t="str">
        <f>'(Intermediate Computations)'!BS47</f>
        <v>MMM 2015</v>
      </c>
      <c r="BN20" s="4" t="str">
        <f>'(Intermediate Computations)'!BT47</f>
        <v>MMM 2015</v>
      </c>
      <c r="BO20" s="4" t="str">
        <f>'(Intermediate Computations)'!BU47</f>
        <v>MMM 2015</v>
      </c>
      <c r="BP20" s="4" t="str">
        <f>'(Intermediate Computations)'!BV47</f>
        <v>MMM 2015</v>
      </c>
      <c r="BQ20" s="4" t="str">
        <f>'(Intermediate Computations)'!BW47</f>
        <v>MMM 2015</v>
      </c>
      <c r="BR20" s="4" t="str">
        <f>'(Intermediate Computations)'!BX47</f>
        <v>MMM 2015</v>
      </c>
      <c r="BS20" s="4" t="str">
        <f>'(Intermediate Computations)'!BY47</f>
        <v>MMM 2015</v>
      </c>
      <c r="BT20" s="4" t="str">
        <f>'(Intermediate Computations)'!BZ47</f>
        <v>MMM 2015</v>
      </c>
      <c r="BU20" s="4" t="str">
        <f>'(Intermediate Computations)'!CB47</f>
        <v>MMM 2016</v>
      </c>
      <c r="BV20" s="4" t="str">
        <f>'(Intermediate Computations)'!CC47</f>
        <v>MMM 2016</v>
      </c>
      <c r="BW20" s="4" t="str">
        <f>'(Intermediate Computations)'!CD47</f>
        <v>MMM 2016</v>
      </c>
      <c r="BX20" s="4" t="str">
        <f>'(Intermediate Computations)'!CE47</f>
        <v>MMM 2016</v>
      </c>
      <c r="BY20" s="4" t="str">
        <f>'(Intermediate Computations)'!CF47</f>
        <v>MMM 2016</v>
      </c>
      <c r="BZ20" s="4" t="str">
        <f>'(Intermediate Computations)'!CG47</f>
        <v>MMM 2016</v>
      </c>
      <c r="CA20" s="4" t="str">
        <f>'(Intermediate Computations)'!CH47</f>
        <v>MMM 2016</v>
      </c>
      <c r="CB20" s="4" t="str">
        <f>'(Intermediate Computations)'!CI47</f>
        <v>MMM 2016</v>
      </c>
      <c r="CC20" s="4" t="str">
        <f>'(Intermediate Computations)'!CJ47</f>
        <v>MMM 2016</v>
      </c>
      <c r="CD20" s="4" t="str">
        <f>'(Intermediate Computations)'!CK47</f>
        <v>MMM 2016</v>
      </c>
      <c r="CE20" s="4" t="str">
        <f>'(Intermediate Computations)'!CL47</f>
        <v>MMM 2016</v>
      </c>
      <c r="CF20" s="4" t="str">
        <f>'(Intermediate Computations)'!CM47</f>
        <v>MMM 2016</v>
      </c>
      <c r="CG20" s="4" t="str">
        <f>'(Intermediate Computations)'!CO47</f>
        <v>MMM 2017</v>
      </c>
      <c r="CH20" s="4" t="str">
        <f>'(Intermediate Computations)'!CP47</f>
        <v>MMM 2017</v>
      </c>
      <c r="CI20" s="4" t="str">
        <f>'(Intermediate Computations)'!CQ47</f>
        <v>MMM 2017</v>
      </c>
      <c r="CJ20" s="4" t="str">
        <f>'(Intermediate Computations)'!CR47</f>
        <v>MMM 2017</v>
      </c>
      <c r="CK20" s="4" t="str">
        <f>'(Intermediate Computations)'!CS47</f>
        <v>MMM 2017</v>
      </c>
      <c r="CL20" s="4" t="str">
        <f>'(Intermediate Computations)'!CT47</f>
        <v>MMM 2017</v>
      </c>
      <c r="CM20" s="4" t="str">
        <f>'(Intermediate Computations)'!CU47</f>
        <v>MMM 2017</v>
      </c>
      <c r="CN20" s="4" t="str">
        <f>'(Intermediate Computations)'!CV47</f>
        <v>MMM 2017</v>
      </c>
      <c r="CO20" s="4" t="str">
        <f>'(Intermediate Computations)'!CW47</f>
        <v>MMM 2017</v>
      </c>
      <c r="CP20" s="4" t="str">
        <f>'(Intermediate Computations)'!CX47</f>
        <v>MMM 2017</v>
      </c>
      <c r="CQ20" s="4" t="str">
        <f>'(Intermediate Computations)'!CY47</f>
        <v>MMM 2017</v>
      </c>
      <c r="CR20" s="4" t="str">
        <f>'(Intermediate Computations)'!CZ47</f>
        <v>MMM 2017</v>
      </c>
      <c r="CS20" s="4" t="str">
        <f>'(Intermediate Computations)'!DB47</f>
        <v>MMM 2018</v>
      </c>
      <c r="CT20" s="4" t="str">
        <f>'(Intermediate Computations)'!DC47</f>
        <v>MMM 2018</v>
      </c>
      <c r="CU20" s="4" t="str">
        <f>'(Intermediate Computations)'!DD47</f>
        <v>MMM 2018</v>
      </c>
      <c r="CV20" s="4" t="str">
        <f>'(Intermediate Computations)'!DE47</f>
        <v>MMM 2018</v>
      </c>
      <c r="CW20" s="4" t="str">
        <f>'(Intermediate Computations)'!DF47</f>
        <v>MMM 2018</v>
      </c>
      <c r="CX20" s="4" t="str">
        <f>'(Intermediate Computations)'!DG47</f>
        <v>MMM 2018</v>
      </c>
      <c r="CY20" s="4" t="str">
        <f>'(Intermediate Computations)'!DH47</f>
        <v>MMM 2018</v>
      </c>
      <c r="CZ20" s="4" t="str">
        <f>'(Intermediate Computations)'!DI47</f>
        <v>MMM 2018</v>
      </c>
      <c r="DA20" s="4" t="str">
        <f>'(Intermediate Computations)'!DJ47</f>
        <v>MMM 2018</v>
      </c>
      <c r="DB20" s="4" t="str">
        <f>'(Intermediate Computations)'!DK47</f>
        <v>MMM 2018</v>
      </c>
      <c r="DC20" s="4" t="str">
        <f>'(Intermediate Computations)'!DL47</f>
        <v>MMM 2018</v>
      </c>
      <c r="DD20" s="4" t="str">
        <f>'(Intermediate Computations)'!DM47</f>
        <v>MMM 2018</v>
      </c>
      <c r="DE20" s="4" t="str">
        <f>'(Intermediate Computations)'!DO47</f>
        <v>MMM 2019</v>
      </c>
      <c r="DF20" s="4" t="str">
        <f>'(Intermediate Computations)'!DP47</f>
        <v>MMM 2019</v>
      </c>
      <c r="DG20" s="4" t="str">
        <f>'(Intermediate Computations)'!DQ47</f>
        <v>MMM 2019</v>
      </c>
      <c r="DH20" s="4" t="str">
        <f>'(Intermediate Computations)'!DR47</f>
        <v>MMM 2019</v>
      </c>
      <c r="DI20" s="4" t="str">
        <f>'(Intermediate Computations)'!DS47</f>
        <v>MMM 2019</v>
      </c>
      <c r="DJ20" s="4" t="str">
        <f>'(Intermediate Computations)'!DT47</f>
        <v>MMM 2019</v>
      </c>
      <c r="DK20" s="4" t="str">
        <f>'(Intermediate Computations)'!DU47</f>
        <v>MMM 2019</v>
      </c>
      <c r="DL20" s="4" t="str">
        <f>'(Intermediate Computations)'!DV47</f>
        <v>MMM 2019</v>
      </c>
      <c r="DM20" s="4" t="str">
        <f>'(Intermediate Computations)'!DW47</f>
        <v>MMM 2019</v>
      </c>
      <c r="DN20" s="4" t="str">
        <f>'(Intermediate Computations)'!DX47</f>
        <v>MMM 2019</v>
      </c>
      <c r="DO20" s="4" t="str">
        <f>'(Intermediate Computations)'!DY47</f>
        <v>MMM 2019</v>
      </c>
      <c r="DP20" s="4" t="str">
        <f>'(Intermediate Computations)'!DZ47</f>
        <v>MMM 2019</v>
      </c>
      <c r="DQ20" s="4" t="str">
        <f>'(Intermediate Computations)'!EB47</f>
        <v>MMM 2020</v>
      </c>
      <c r="DR20" s="4" t="str">
        <f>'(Intermediate Computations)'!EC47</f>
        <v>MMM 2020</v>
      </c>
      <c r="DS20" s="4" t="str">
        <f>'(Intermediate Computations)'!ED47</f>
        <v>MMM 2020</v>
      </c>
      <c r="DT20" s="4" t="str">
        <f>'(Intermediate Computations)'!EE47</f>
        <v>MMM 2020</v>
      </c>
      <c r="DU20" s="4" t="str">
        <f>'(Intermediate Computations)'!EF47</f>
        <v>MMM 2020</v>
      </c>
      <c r="DV20" s="4" t="str">
        <f>'(Intermediate Computations)'!EG47</f>
        <v>MMM 2020</v>
      </c>
      <c r="DW20" s="4" t="str">
        <f>'(Intermediate Computations)'!EH47</f>
        <v>MMM 2020</v>
      </c>
      <c r="DX20" s="4" t="str">
        <f>'(Intermediate Computations)'!EI47</f>
        <v>MMM 2020</v>
      </c>
      <c r="DY20" s="4" t="str">
        <f>'(Intermediate Computations)'!EJ47</f>
        <v>MMM 2020</v>
      </c>
      <c r="DZ20" s="4" t="str">
        <f>'(Intermediate Computations)'!EK47</f>
        <v>MMM 2020</v>
      </c>
      <c r="EA20" s="4" t="str">
        <f>'(Intermediate Computations)'!EL47</f>
        <v>MMM 2020</v>
      </c>
      <c r="EB20" s="4" t="str">
        <f>'(Intermediate Computations)'!EM47</f>
        <v>MMM 2020</v>
      </c>
    </row>
    <row r="21" spans="1:132" ht="12.75" customHeight="1" x14ac:dyDescent="0.2">
      <c r="A21" s="4">
        <f>'(Intermediate Computations)'!B44</f>
        <v>40179</v>
      </c>
      <c r="B21" s="4">
        <f>'(Intermediate Computations)'!C44</f>
        <v>40210</v>
      </c>
      <c r="C21" s="4">
        <f>'(Intermediate Computations)'!D44</f>
        <v>40238</v>
      </c>
      <c r="D21" s="4">
        <f>'(Intermediate Computations)'!E44</f>
        <v>40269</v>
      </c>
      <c r="E21" s="4">
        <f>'(Intermediate Computations)'!F44</f>
        <v>40299</v>
      </c>
      <c r="F21" s="4">
        <f>'(Intermediate Computations)'!G44</f>
        <v>40330</v>
      </c>
      <c r="G21" s="4">
        <f>'(Intermediate Computations)'!H44</f>
        <v>40360</v>
      </c>
      <c r="H21" s="4">
        <f>'(Intermediate Computations)'!I44</f>
        <v>40391</v>
      </c>
      <c r="I21" s="4">
        <f>'(Intermediate Computations)'!J44</f>
        <v>40422</v>
      </c>
      <c r="J21" s="4">
        <f>'(Intermediate Computations)'!K44</f>
        <v>40452</v>
      </c>
      <c r="K21" s="4">
        <f>'(Intermediate Computations)'!L44</f>
        <v>40483</v>
      </c>
      <c r="L21" s="4">
        <f>'(Intermediate Computations)'!M44</f>
        <v>40513</v>
      </c>
      <c r="M21" s="4">
        <f>'(Intermediate Computations)'!O44</f>
        <v>40544</v>
      </c>
      <c r="N21" s="4">
        <f>'(Intermediate Computations)'!P44</f>
        <v>40575</v>
      </c>
      <c r="O21" s="4">
        <f>'(Intermediate Computations)'!Q44</f>
        <v>40603</v>
      </c>
      <c r="P21" s="4">
        <f>'(Intermediate Computations)'!R44</f>
        <v>40634</v>
      </c>
      <c r="Q21" s="4">
        <f>'(Intermediate Computations)'!S44</f>
        <v>40664</v>
      </c>
      <c r="R21" s="4">
        <f>'(Intermediate Computations)'!T44</f>
        <v>40695</v>
      </c>
      <c r="S21" s="4">
        <f>'(Intermediate Computations)'!U44</f>
        <v>40725</v>
      </c>
      <c r="T21" s="4">
        <f>'(Intermediate Computations)'!V44</f>
        <v>40756</v>
      </c>
      <c r="U21" s="4">
        <f>'(Intermediate Computations)'!W44</f>
        <v>40787</v>
      </c>
      <c r="V21" s="4">
        <f>'(Intermediate Computations)'!X44</f>
        <v>40817</v>
      </c>
      <c r="W21" s="4">
        <f>'(Intermediate Computations)'!Y44</f>
        <v>40848</v>
      </c>
      <c r="X21" s="4">
        <f>'(Intermediate Computations)'!Z44</f>
        <v>40878</v>
      </c>
      <c r="Y21" s="4">
        <f>'(Intermediate Computations)'!AB44</f>
        <v>40909</v>
      </c>
      <c r="Z21" s="4">
        <f>'(Intermediate Computations)'!AC44</f>
        <v>40940</v>
      </c>
      <c r="AA21" s="4">
        <f>'(Intermediate Computations)'!AD44</f>
        <v>40969</v>
      </c>
      <c r="AB21" s="4">
        <f>'(Intermediate Computations)'!AE44</f>
        <v>41000</v>
      </c>
      <c r="AC21" s="4">
        <f>'(Intermediate Computations)'!AF44</f>
        <v>41030</v>
      </c>
      <c r="AD21" s="4">
        <f>'(Intermediate Computations)'!AG44</f>
        <v>41061</v>
      </c>
      <c r="AE21" s="4">
        <f>'(Intermediate Computations)'!AH44</f>
        <v>41091</v>
      </c>
      <c r="AF21" s="4">
        <f>'(Intermediate Computations)'!AI44</f>
        <v>41122</v>
      </c>
      <c r="AG21" s="4">
        <f>'(Intermediate Computations)'!AJ44</f>
        <v>41153</v>
      </c>
      <c r="AH21" s="4">
        <f>'(Intermediate Computations)'!AK44</f>
        <v>41183</v>
      </c>
      <c r="AI21" s="4">
        <f>'(Intermediate Computations)'!AL44</f>
        <v>41214</v>
      </c>
      <c r="AJ21" s="4">
        <f>'(Intermediate Computations)'!AM44</f>
        <v>41244</v>
      </c>
      <c r="AK21" s="4">
        <f>'(Intermediate Computations)'!AO44</f>
        <v>41275</v>
      </c>
      <c r="AL21" s="4">
        <f>'(Intermediate Computations)'!AP44</f>
        <v>41306</v>
      </c>
      <c r="AM21" s="4">
        <f>'(Intermediate Computations)'!AQ44</f>
        <v>41334</v>
      </c>
      <c r="AN21" s="4">
        <f>'(Intermediate Computations)'!AR44</f>
        <v>41365</v>
      </c>
      <c r="AO21" s="4">
        <f>'(Intermediate Computations)'!AS44</f>
        <v>41395</v>
      </c>
      <c r="AP21" s="4">
        <f>'(Intermediate Computations)'!AT44</f>
        <v>41426</v>
      </c>
      <c r="AQ21" s="4">
        <f>'(Intermediate Computations)'!AU44</f>
        <v>41456</v>
      </c>
      <c r="AR21" s="4">
        <f>'(Intermediate Computations)'!AV44</f>
        <v>41487</v>
      </c>
      <c r="AS21" s="4">
        <f>'(Intermediate Computations)'!AW44</f>
        <v>41518</v>
      </c>
      <c r="AT21" s="4">
        <f>'(Intermediate Computations)'!AX44</f>
        <v>41548</v>
      </c>
      <c r="AU21" s="4">
        <f>'(Intermediate Computations)'!AY44</f>
        <v>41579</v>
      </c>
      <c r="AV21" s="4">
        <f>'(Intermediate Computations)'!AZ44</f>
        <v>41609</v>
      </c>
      <c r="AW21" s="4">
        <f>'(Intermediate Computations)'!BB44</f>
        <v>41640</v>
      </c>
      <c r="AX21" s="4">
        <f>'(Intermediate Computations)'!BC44</f>
        <v>41671</v>
      </c>
      <c r="AY21" s="4">
        <f>'(Intermediate Computations)'!BD44</f>
        <v>41699</v>
      </c>
      <c r="AZ21" s="4">
        <f>'(Intermediate Computations)'!BE44</f>
        <v>41730</v>
      </c>
      <c r="BA21" s="4">
        <f>'(Intermediate Computations)'!BF44</f>
        <v>41760</v>
      </c>
      <c r="BB21" s="4">
        <f>'(Intermediate Computations)'!BG44</f>
        <v>41791</v>
      </c>
      <c r="BC21" s="4">
        <f>'(Intermediate Computations)'!BH44</f>
        <v>41821</v>
      </c>
      <c r="BD21" s="4">
        <f>'(Intermediate Computations)'!BI44</f>
        <v>41852</v>
      </c>
      <c r="BE21" s="4">
        <f>'(Intermediate Computations)'!BJ44</f>
        <v>41883</v>
      </c>
      <c r="BF21" s="4">
        <f>'(Intermediate Computations)'!BK44</f>
        <v>41913</v>
      </c>
      <c r="BG21" s="4">
        <f>'(Intermediate Computations)'!BL44</f>
        <v>41944</v>
      </c>
      <c r="BH21" s="4">
        <f>'(Intermediate Computations)'!BM44</f>
        <v>41974</v>
      </c>
      <c r="BI21" s="4">
        <f>'(Intermediate Computations)'!BO44</f>
        <v>42005</v>
      </c>
      <c r="BJ21" s="4">
        <f>'(Intermediate Computations)'!BP44</f>
        <v>42036</v>
      </c>
      <c r="BK21" s="4">
        <f>'(Intermediate Computations)'!BQ44</f>
        <v>42064</v>
      </c>
      <c r="BL21" s="4">
        <f>'(Intermediate Computations)'!BR44</f>
        <v>42095</v>
      </c>
      <c r="BM21" s="4">
        <f>'(Intermediate Computations)'!BS44</f>
        <v>42125</v>
      </c>
      <c r="BN21" s="4">
        <f>'(Intermediate Computations)'!BT44</f>
        <v>42156</v>
      </c>
      <c r="BO21" s="4">
        <f>'(Intermediate Computations)'!BU44</f>
        <v>42186</v>
      </c>
      <c r="BP21" s="4">
        <f>'(Intermediate Computations)'!BV44</f>
        <v>42217</v>
      </c>
      <c r="BQ21" s="4">
        <f>'(Intermediate Computations)'!BW44</f>
        <v>42248</v>
      </c>
      <c r="BR21" s="4">
        <f>'(Intermediate Computations)'!BX44</f>
        <v>42278</v>
      </c>
      <c r="BS21" s="4">
        <f>'(Intermediate Computations)'!BY44</f>
        <v>42309</v>
      </c>
      <c r="BT21" s="4">
        <f>'(Intermediate Computations)'!BZ44</f>
        <v>42339</v>
      </c>
      <c r="BU21" s="4">
        <f>'(Intermediate Computations)'!CB44</f>
        <v>42370</v>
      </c>
      <c r="BV21" s="4">
        <f>'(Intermediate Computations)'!CC44</f>
        <v>42401</v>
      </c>
      <c r="BW21" s="4">
        <f>'(Intermediate Computations)'!CD44</f>
        <v>42430</v>
      </c>
      <c r="BX21" s="4">
        <f>'(Intermediate Computations)'!CE44</f>
        <v>42461</v>
      </c>
      <c r="BY21" s="4">
        <f>'(Intermediate Computations)'!CF44</f>
        <v>42491</v>
      </c>
      <c r="BZ21" s="4">
        <f>'(Intermediate Computations)'!CG44</f>
        <v>42522</v>
      </c>
      <c r="CA21" s="4">
        <f>'(Intermediate Computations)'!CH44</f>
        <v>42552</v>
      </c>
      <c r="CB21" s="4">
        <f>'(Intermediate Computations)'!CI44</f>
        <v>42583</v>
      </c>
      <c r="CC21" s="4">
        <f>'(Intermediate Computations)'!CJ44</f>
        <v>42614</v>
      </c>
      <c r="CD21" s="4">
        <f>'(Intermediate Computations)'!CK44</f>
        <v>42644</v>
      </c>
      <c r="CE21" s="4">
        <f>'(Intermediate Computations)'!CL44</f>
        <v>42675</v>
      </c>
      <c r="CF21" s="4">
        <f>'(Intermediate Computations)'!CM44</f>
        <v>42705</v>
      </c>
      <c r="CG21" s="4">
        <f>'(Intermediate Computations)'!CO44</f>
        <v>42736</v>
      </c>
      <c r="CH21" s="4">
        <f>'(Intermediate Computations)'!CP44</f>
        <v>42767</v>
      </c>
      <c r="CI21" s="4">
        <f>'(Intermediate Computations)'!CQ44</f>
        <v>42795</v>
      </c>
      <c r="CJ21" s="4">
        <f>'(Intermediate Computations)'!CR44</f>
        <v>42826</v>
      </c>
      <c r="CK21" s="4">
        <f>'(Intermediate Computations)'!CS44</f>
        <v>42856</v>
      </c>
      <c r="CL21" s="4">
        <f>'(Intermediate Computations)'!CT44</f>
        <v>42887</v>
      </c>
      <c r="CM21" s="4">
        <f>'(Intermediate Computations)'!CU44</f>
        <v>42917</v>
      </c>
      <c r="CN21" s="4">
        <f>'(Intermediate Computations)'!CV44</f>
        <v>42948</v>
      </c>
      <c r="CO21" s="4">
        <f>'(Intermediate Computations)'!CW44</f>
        <v>42979</v>
      </c>
      <c r="CP21" s="4">
        <f>'(Intermediate Computations)'!CX44</f>
        <v>43009</v>
      </c>
      <c r="CQ21" s="4">
        <f>'(Intermediate Computations)'!CY44</f>
        <v>43040</v>
      </c>
      <c r="CR21" s="4">
        <f>'(Intermediate Computations)'!CZ44</f>
        <v>43070</v>
      </c>
      <c r="CS21" s="4">
        <f>'(Intermediate Computations)'!DB44</f>
        <v>43101</v>
      </c>
      <c r="CT21" s="4">
        <f>'(Intermediate Computations)'!DC44</f>
        <v>43132</v>
      </c>
      <c r="CU21" s="4">
        <f>'(Intermediate Computations)'!DD44</f>
        <v>43160</v>
      </c>
      <c r="CV21" s="4">
        <f>'(Intermediate Computations)'!DE44</f>
        <v>43191</v>
      </c>
      <c r="CW21" s="4">
        <f>'(Intermediate Computations)'!DF44</f>
        <v>43221</v>
      </c>
      <c r="CX21" s="4">
        <f>'(Intermediate Computations)'!DG44</f>
        <v>43252</v>
      </c>
      <c r="CY21" s="4">
        <f>'(Intermediate Computations)'!DH44</f>
        <v>43282</v>
      </c>
      <c r="CZ21" s="4">
        <f>'(Intermediate Computations)'!DI44</f>
        <v>43313</v>
      </c>
      <c r="DA21" s="4">
        <f>'(Intermediate Computations)'!DJ44</f>
        <v>43344</v>
      </c>
      <c r="DB21" s="4">
        <f>'(Intermediate Computations)'!DK44</f>
        <v>43374</v>
      </c>
      <c r="DC21" s="4">
        <f>'(Intermediate Computations)'!DL44</f>
        <v>43405</v>
      </c>
      <c r="DD21" s="4">
        <f>'(Intermediate Computations)'!DM44</f>
        <v>43435</v>
      </c>
      <c r="DE21" s="4">
        <f>'(Intermediate Computations)'!DO44</f>
        <v>43466</v>
      </c>
      <c r="DF21" s="4">
        <f>'(Intermediate Computations)'!DP44</f>
        <v>43497</v>
      </c>
      <c r="DG21" s="4">
        <f>'(Intermediate Computations)'!DQ44</f>
        <v>43525</v>
      </c>
      <c r="DH21" s="4">
        <f>'(Intermediate Computations)'!DR44</f>
        <v>43556</v>
      </c>
      <c r="DI21" s="4">
        <f>'(Intermediate Computations)'!DS44</f>
        <v>43586</v>
      </c>
      <c r="DJ21" s="4">
        <f>'(Intermediate Computations)'!DT44</f>
        <v>43617</v>
      </c>
      <c r="DK21" s="4">
        <f>'(Intermediate Computations)'!DU44</f>
        <v>43647</v>
      </c>
      <c r="DL21" s="4">
        <f>'(Intermediate Computations)'!DV44</f>
        <v>43678</v>
      </c>
      <c r="DM21" s="4">
        <f>'(Intermediate Computations)'!DW44</f>
        <v>43709</v>
      </c>
      <c r="DN21" s="4">
        <f>'(Intermediate Computations)'!DX44</f>
        <v>43739</v>
      </c>
      <c r="DO21" s="4">
        <f>'(Intermediate Computations)'!DY44</f>
        <v>43770</v>
      </c>
      <c r="DP21" s="4">
        <f>'(Intermediate Computations)'!DZ44</f>
        <v>43800</v>
      </c>
      <c r="DQ21" s="4">
        <f>'(Intermediate Computations)'!EB44</f>
        <v>43831</v>
      </c>
      <c r="DR21" s="4">
        <f>'(Intermediate Computations)'!EC44</f>
        <v>43862</v>
      </c>
      <c r="DS21" s="4">
        <f>'(Intermediate Computations)'!ED44</f>
        <v>43891</v>
      </c>
      <c r="DT21" s="4">
        <f>'(Intermediate Computations)'!EE44</f>
        <v>43922</v>
      </c>
      <c r="DU21" s="4">
        <f>'(Intermediate Computations)'!EF44</f>
        <v>43952</v>
      </c>
      <c r="DV21" s="4">
        <f>'(Intermediate Computations)'!EG44</f>
        <v>43983</v>
      </c>
      <c r="DW21" s="4">
        <f>'(Intermediate Computations)'!EH44</f>
        <v>44013</v>
      </c>
      <c r="DX21" s="4">
        <f>'(Intermediate Computations)'!EI44</f>
        <v>44044</v>
      </c>
      <c r="DY21" s="4">
        <f>'(Intermediate Computations)'!EJ44</f>
        <v>44075</v>
      </c>
      <c r="DZ21" s="4">
        <f>'(Intermediate Computations)'!EK44</f>
        <v>44105</v>
      </c>
      <c r="EA21" s="4">
        <f>'(Intermediate Computations)'!EL44</f>
        <v>44136</v>
      </c>
      <c r="EB21" s="4">
        <f>'(Intermediate Computations)'!EM44</f>
        <v>44166</v>
      </c>
    </row>
    <row r="22" spans="1:132" ht="12.75" customHeight="1" x14ac:dyDescent="0.2">
      <c r="A22" s="58">
        <f>Employment!B7</f>
        <v>140</v>
      </c>
      <c r="B22" s="58">
        <f>Employment!C7</f>
        <v>140</v>
      </c>
      <c r="C22" s="58">
        <f ca="1">Employment!D7</f>
        <v>139.99992847056413</v>
      </c>
      <c r="D22" s="58">
        <f ca="1">Employment!E7</f>
        <v>139.99895581888555</v>
      </c>
      <c r="E22" s="58">
        <f ca="1">Employment!F7</f>
        <v>139.99939923159263</v>
      </c>
      <c r="F22" s="58">
        <f ca="1">Employment!G7</f>
        <v>140.00147316656415</v>
      </c>
      <c r="G22" s="58">
        <f ca="1">Employment!H7</f>
        <v>140.00193037566174</v>
      </c>
      <c r="H22" s="58">
        <f ca="1">Employment!I7</f>
        <v>140.00256109707351</v>
      </c>
      <c r="I22" s="58">
        <f ca="1">Employment!J7</f>
        <v>140.00289294577883</v>
      </c>
      <c r="J22" s="58">
        <f ca="1">Employment!K7</f>
        <v>140.00346778803268</v>
      </c>
      <c r="K22" s="58">
        <f ca="1">Employment!L7</f>
        <v>140.00470589108156</v>
      </c>
      <c r="L22" s="58">
        <f ca="1">Employment!M7</f>
        <v>140.00606500322357</v>
      </c>
      <c r="M22" s="58">
        <f ca="1">Employment!O7</f>
        <v>140.00781017114724</v>
      </c>
      <c r="N22" s="58">
        <f ca="1">Employment!P7</f>
        <v>140.01000134581457</v>
      </c>
      <c r="O22" s="58">
        <f ca="1">Employment!Q7</f>
        <v>140.01163113672229</v>
      </c>
      <c r="P22" s="58">
        <f ca="1">Employment!R7</f>
        <v>140.01463461306258</v>
      </c>
      <c r="Q22" s="58">
        <f ca="1">Employment!S7</f>
        <v>140.01643717070141</v>
      </c>
      <c r="R22" s="58">
        <f ca="1">Employment!T7</f>
        <v>140.01911197243714</v>
      </c>
      <c r="S22" s="58">
        <f ca="1">Employment!U7</f>
        <v>140.02319196572856</v>
      </c>
      <c r="T22" s="58">
        <f ca="1">Employment!V7</f>
        <v>140.02887253515019</v>
      </c>
      <c r="U22" s="58">
        <f ca="1">Employment!W7</f>
        <v>140.03262304728014</v>
      </c>
      <c r="V22" s="58">
        <f ca="1">Employment!X7</f>
        <v>140.03642548111785</v>
      </c>
      <c r="W22" s="58">
        <f ca="1">Employment!Y7</f>
        <v>140.04132356206125</v>
      </c>
      <c r="X22" s="58">
        <f ca="1">Employment!Z7</f>
        <v>140.0445269748833</v>
      </c>
      <c r="Y22" s="58">
        <f ca="1">Employment!AB7</f>
        <v>140.0481772329278</v>
      </c>
      <c r="Z22" s="58">
        <f ca="1">Employment!AC7</f>
        <v>140.05170131623782</v>
      </c>
      <c r="AA22" s="58">
        <f ca="1">Employment!AD7</f>
        <v>140.05599671356265</v>
      </c>
      <c r="AB22" s="58">
        <f ca="1">Employment!AE7</f>
        <v>140.06125300197567</v>
      </c>
      <c r="AC22" s="58">
        <f ca="1">Employment!AF7</f>
        <v>140.06688973032882</v>
      </c>
      <c r="AD22" s="58">
        <f ca="1">Employment!AG7</f>
        <v>140.07358444193196</v>
      </c>
      <c r="AE22" s="58">
        <f ca="1">Employment!AH7</f>
        <v>140.08130409147452</v>
      </c>
      <c r="AF22" s="58">
        <f ca="1">Employment!AI7</f>
        <v>140.08863477671085</v>
      </c>
      <c r="AG22" s="58">
        <f ca="1">Employment!AJ7</f>
        <v>140.09524123841015</v>
      </c>
      <c r="AH22" s="58">
        <f ca="1">Employment!AK7</f>
        <v>140.10108458943014</v>
      </c>
      <c r="AI22" s="58">
        <f ca="1">Employment!AL7</f>
        <v>140.10774040696299</v>
      </c>
      <c r="AJ22" s="58">
        <f ca="1">Employment!AM7</f>
        <v>140.11320300159306</v>
      </c>
      <c r="AK22" s="58">
        <f ca="1">Employment!AO7</f>
        <v>140.11853337733203</v>
      </c>
      <c r="AL22" s="58">
        <f ca="1">Employment!AP7</f>
        <v>140.1233128117743</v>
      </c>
      <c r="AM22" s="58">
        <f ca="1">Employment!AQ7</f>
        <v>140.12779095469901</v>
      </c>
      <c r="AN22" s="58">
        <f ca="1">Employment!AR7</f>
        <v>140.13216477493856</v>
      </c>
      <c r="AO22" s="58">
        <f ca="1">Employment!AS7</f>
        <v>140.13529795486588</v>
      </c>
      <c r="AP22" s="58">
        <f ca="1">Employment!AT7</f>
        <v>140.13872226828056</v>
      </c>
      <c r="AQ22" s="58">
        <f ca="1">Employment!AU7</f>
        <v>140.1417739285933</v>
      </c>
      <c r="AR22" s="58">
        <f ca="1">Employment!AV7</f>
        <v>140.14523043051713</v>
      </c>
      <c r="AS22" s="58">
        <f ca="1">Employment!AW7</f>
        <v>140.14921766048897</v>
      </c>
      <c r="AT22" s="58">
        <f ca="1">Employment!AX7</f>
        <v>140.15329340600923</v>
      </c>
      <c r="AU22" s="58">
        <f ca="1">Employment!AY7</f>
        <v>140.15873343685308</v>
      </c>
      <c r="AV22" s="58">
        <f ca="1">Employment!AZ7</f>
        <v>140.16313520441986</v>
      </c>
      <c r="AW22" s="58">
        <f ca="1">Employment!BB7</f>
        <v>140.16635973838564</v>
      </c>
      <c r="AX22" s="58">
        <f ca="1">Employment!BC7</f>
        <v>140.17087725273541</v>
      </c>
      <c r="AY22" s="58">
        <f ca="1">Employment!BD7</f>
        <v>140.17676392118972</v>
      </c>
      <c r="AZ22" s="58">
        <f ca="1">Employment!BE7</f>
        <v>140.18164769167657</v>
      </c>
      <c r="BA22" s="58">
        <f ca="1">Employment!BF7</f>
        <v>140.18557839182807</v>
      </c>
      <c r="BB22" s="58">
        <f ca="1">Employment!BG7</f>
        <v>140.18972688530332</v>
      </c>
      <c r="BC22" s="58">
        <f ca="1">Employment!BH7</f>
        <v>140.19259400356384</v>
      </c>
      <c r="BD22" s="58">
        <f ca="1">Employment!BI7</f>
        <v>140.19474428524185</v>
      </c>
      <c r="BE22" s="58">
        <f ca="1">Employment!BJ7</f>
        <v>140.19671641169916</v>
      </c>
      <c r="BF22" s="58">
        <f ca="1">Employment!BK7</f>
        <v>140.19805057577767</v>
      </c>
      <c r="BG22" s="58">
        <f ca="1">Employment!BL7</f>
        <v>140.20074162708187</v>
      </c>
      <c r="BH22" s="58">
        <f ca="1">Employment!BM7</f>
        <v>140.20249406262863</v>
      </c>
      <c r="BI22" s="58">
        <f ca="1">Employment!BO7</f>
        <v>140.20551091555532</v>
      </c>
      <c r="BJ22" s="58">
        <f ca="1">Employment!BP7</f>
        <v>140.2069867448389</v>
      </c>
      <c r="BK22" s="58">
        <f ca="1">Employment!BQ7</f>
        <v>140.20936536476555</v>
      </c>
      <c r="BL22" s="58">
        <f ca="1">Employment!BR7</f>
        <v>140.21308025843561</v>
      </c>
      <c r="BM22" s="58">
        <f ca="1">Employment!BS7</f>
        <v>140.21646723861164</v>
      </c>
      <c r="BN22" s="58">
        <f ca="1">Employment!BT7</f>
        <v>140.21889395234356</v>
      </c>
      <c r="BO22" s="58">
        <f ca="1">Employment!BU7</f>
        <v>140.2229962018678</v>
      </c>
      <c r="BP22" s="58">
        <f ca="1">Employment!BV7</f>
        <v>140.22608735183215</v>
      </c>
      <c r="BQ22" s="58">
        <f ca="1">Employment!BW7</f>
        <v>140.23011623603313</v>
      </c>
      <c r="BR22" s="58">
        <f ca="1">Employment!BX7</f>
        <v>140.23458875977019</v>
      </c>
      <c r="BS22" s="58">
        <f ca="1">Employment!BY7</f>
        <v>140.24021099778037</v>
      </c>
      <c r="BT22" s="58">
        <f ca="1">Employment!BZ7</f>
        <v>140.2453869247646</v>
      </c>
      <c r="BU22" s="58">
        <f ca="1">Employment!CB7</f>
        <v>140.24925733312315</v>
      </c>
      <c r="BV22" s="58">
        <f ca="1">Employment!CC7</f>
        <v>140.25318657274764</v>
      </c>
      <c r="BW22" s="58">
        <f ca="1">Employment!CD7</f>
        <v>140.25656509616536</v>
      </c>
      <c r="BX22" s="58">
        <f ca="1">Employment!CE7</f>
        <v>140.2593575659541</v>
      </c>
      <c r="BY22" s="58">
        <f ca="1">Employment!CF7</f>
        <v>140.26162946146528</v>
      </c>
      <c r="BZ22" s="58">
        <f ca="1">Employment!CG7</f>
        <v>140.26358106961843</v>
      </c>
      <c r="CA22" s="58">
        <f ca="1">Employment!CH7</f>
        <v>140.26619223286312</v>
      </c>
      <c r="CB22" s="58">
        <f ca="1">Employment!CI7</f>
        <v>140.26813422487734</v>
      </c>
      <c r="CC22" s="58">
        <f ca="1">Employment!CJ7</f>
        <v>140.26911558166174</v>
      </c>
      <c r="CD22" s="58">
        <f ca="1">Employment!CK7</f>
        <v>140.26908669741766</v>
      </c>
      <c r="CE22" s="58">
        <f ca="1">Employment!CL7</f>
        <v>140.26892812096352</v>
      </c>
      <c r="CF22" s="58">
        <f ca="1">Employment!CM7</f>
        <v>140.2677118760283</v>
      </c>
      <c r="CG22" s="58">
        <f ca="1">Employment!CO7</f>
        <v>140.26730631607313</v>
      </c>
      <c r="CH22" s="58">
        <f ca="1">Employment!CP7</f>
        <v>140.26730635026794</v>
      </c>
      <c r="CI22" s="58">
        <f ca="1">Employment!CQ7</f>
        <v>140.26604383185938</v>
      </c>
      <c r="CJ22" s="58">
        <f ca="1">Employment!CR7</f>
        <v>140.26341698859491</v>
      </c>
      <c r="CK22" s="58">
        <f ca="1">Employment!CS7</f>
        <v>140.26004105424121</v>
      </c>
      <c r="CL22" s="58">
        <f ca="1">Employment!CT7</f>
        <v>140.25628487685691</v>
      </c>
      <c r="CM22" s="58">
        <f ca="1">Employment!CU7</f>
        <v>140.25204146305498</v>
      </c>
      <c r="CN22" s="58">
        <f ca="1">Employment!CV7</f>
        <v>140.2478073832086</v>
      </c>
      <c r="CO22" s="58">
        <f ca="1">Employment!CW7</f>
        <v>140.24449628402181</v>
      </c>
      <c r="CP22" s="58">
        <f ca="1">Employment!CX7</f>
        <v>140.24173940049374</v>
      </c>
      <c r="CQ22" s="58">
        <f ca="1">Employment!CY7</f>
        <v>140.23966215361136</v>
      </c>
      <c r="CR22" s="58">
        <f ca="1">Employment!CZ7</f>
        <v>140.23715009098694</v>
      </c>
      <c r="CS22" s="58">
        <f ca="1">Employment!DB7</f>
        <v>140.23469910456959</v>
      </c>
      <c r="CT22" s="58">
        <f ca="1">Employment!DC7</f>
        <v>140.23330767473738</v>
      </c>
      <c r="CU22" s="58">
        <f ca="1">Employment!DD7</f>
        <v>140.23233800199469</v>
      </c>
      <c r="CV22" s="58">
        <f ca="1">Employment!DE7</f>
        <v>140.23173211719083</v>
      </c>
      <c r="CW22" s="58">
        <f ca="1">Employment!DF7</f>
        <v>140.22966307436403</v>
      </c>
      <c r="CX22" s="58">
        <f ca="1">Employment!DG7</f>
        <v>140.22632278656405</v>
      </c>
      <c r="CY22" s="58">
        <f ca="1">Employment!DH7</f>
        <v>140.22265256000372</v>
      </c>
      <c r="CZ22" s="58">
        <f ca="1">Employment!DI7</f>
        <v>140.21932522864361</v>
      </c>
      <c r="DA22" s="58">
        <f ca="1">Employment!DJ7</f>
        <v>140.21515151222422</v>
      </c>
      <c r="DB22" s="58">
        <f ca="1">Employment!DK7</f>
        <v>140.21019681241873</v>
      </c>
      <c r="DC22" s="58">
        <f ca="1">Employment!DL7</f>
        <v>140.20560646291236</v>
      </c>
      <c r="DD22" s="58">
        <f ca="1">Employment!DM7</f>
        <v>140.20128848673139</v>
      </c>
      <c r="DE22" s="58">
        <f ca="1">Employment!DO7</f>
        <v>140.19778325689578</v>
      </c>
      <c r="DF22" s="58">
        <f ca="1">Employment!DP7</f>
        <v>140.19258963413736</v>
      </c>
      <c r="DG22" s="58">
        <f ca="1">Employment!DQ7</f>
        <v>140.18795028879052</v>
      </c>
      <c r="DH22" s="58">
        <f ca="1">Employment!DR7</f>
        <v>140.18283217798881</v>
      </c>
      <c r="DI22" s="58">
        <f ca="1">Employment!DS7</f>
        <v>140.17681970624238</v>
      </c>
      <c r="DJ22" s="58">
        <f ca="1">Employment!DT7</f>
        <v>140.17171740645611</v>
      </c>
      <c r="DK22" s="58">
        <f ca="1">Employment!DU7</f>
        <v>140.16664822678095</v>
      </c>
      <c r="DL22" s="58">
        <f ca="1">Employment!DV7</f>
        <v>140.16050809927594</v>
      </c>
      <c r="DM22" s="58">
        <f ca="1">Employment!DW7</f>
        <v>140.1557437740224</v>
      </c>
      <c r="DN22" s="58">
        <f ca="1">Employment!DX7</f>
        <v>140.15160135850897</v>
      </c>
      <c r="DO22" s="58">
        <f ca="1">Employment!DY7</f>
        <v>140.14629115116847</v>
      </c>
      <c r="DP22" s="58">
        <f ca="1">Employment!DZ7</f>
        <v>140.14151680895665</v>
      </c>
      <c r="DQ22" s="58">
        <f ca="1">Employment!EB7</f>
        <v>140.13702331141175</v>
      </c>
      <c r="DR22" s="58">
        <f ca="1">Employment!EC7</f>
        <v>140.13365248589631</v>
      </c>
      <c r="DS22" s="58">
        <f ca="1">Employment!ED7</f>
        <v>140.12903872606825</v>
      </c>
      <c r="DT22" s="58">
        <f ca="1">Employment!EE7</f>
        <v>140.12334009032074</v>
      </c>
      <c r="DU22" s="58">
        <f ca="1">Employment!EF7</f>
        <v>140.11815935707045</v>
      </c>
      <c r="DV22" s="58">
        <f ca="1">Employment!EG7</f>
        <v>140.11201553926534</v>
      </c>
      <c r="DW22" s="58">
        <f ca="1">Employment!EH7</f>
        <v>140.10728960648549</v>
      </c>
      <c r="DX22" s="58">
        <f ca="1">Employment!EI7</f>
        <v>140.10222878259293</v>
      </c>
      <c r="DY22" s="58">
        <f ca="1">Employment!EJ7</f>
        <v>140.09566107416404</v>
      </c>
      <c r="DZ22" s="58">
        <f ca="1">Employment!EK7</f>
        <v>140.08959340917625</v>
      </c>
      <c r="EA22" s="58">
        <f ca="1">Employment!EL7</f>
        <v>140.08209892176447</v>
      </c>
      <c r="EB22" s="58">
        <f ca="1">Employment!EM7</f>
        <v>140.075817431611</v>
      </c>
    </row>
    <row r="23" spans="1:132" ht="12.75" customHeight="1" x14ac:dyDescent="0.2">
      <c r="A23" s="4" t="str">
        <f>'(Intermediate Computations)'!B53</f>
        <v>MMM 2010</v>
      </c>
      <c r="B23" s="4" t="str">
        <f>'(Intermediate Computations)'!C53</f>
        <v>MMM 2010</v>
      </c>
      <c r="C23" s="4" t="str">
        <f>'(Intermediate Computations)'!D53</f>
        <v>MMM 2010</v>
      </c>
      <c r="D23" s="4" t="str">
        <f>'(Intermediate Computations)'!E53</f>
        <v>MMM 2010</v>
      </c>
      <c r="E23" s="4" t="str">
        <f>'(Intermediate Computations)'!F53</f>
        <v>MMM 2010</v>
      </c>
      <c r="F23" s="4" t="str">
        <f>'(Intermediate Computations)'!G53</f>
        <v>MMM 2010</v>
      </c>
      <c r="G23" s="4" t="str">
        <f>'(Intermediate Computations)'!H53</f>
        <v>MMM 2010</v>
      </c>
      <c r="H23" s="4" t="str">
        <f>'(Intermediate Computations)'!I53</f>
        <v>MMM 2010</v>
      </c>
      <c r="I23" s="4" t="str">
        <f>'(Intermediate Computations)'!J53</f>
        <v>MMM 2010</v>
      </c>
      <c r="J23" s="4" t="str">
        <f>'(Intermediate Computations)'!K53</f>
        <v>MMM 2010</v>
      </c>
      <c r="K23" s="4" t="str">
        <f>'(Intermediate Computations)'!L53</f>
        <v>MMM 2010</v>
      </c>
      <c r="L23" s="4" t="str">
        <f>'(Intermediate Computations)'!M53</f>
        <v>MMM 2010</v>
      </c>
      <c r="M23" s="4" t="str">
        <f>'(Intermediate Computations)'!O53</f>
        <v>MMM 2011</v>
      </c>
      <c r="N23" s="4" t="str">
        <f>'(Intermediate Computations)'!P53</f>
        <v>MMM 2011</v>
      </c>
      <c r="O23" s="4" t="str">
        <f>'(Intermediate Computations)'!Q53</f>
        <v>MMM 2011</v>
      </c>
      <c r="P23" s="4" t="str">
        <f>'(Intermediate Computations)'!R53</f>
        <v>MMM 2011</v>
      </c>
      <c r="Q23" s="4" t="str">
        <f>'(Intermediate Computations)'!S53</f>
        <v>MMM 2011</v>
      </c>
      <c r="R23" s="4" t="str">
        <f>'(Intermediate Computations)'!T53</f>
        <v>MMM 2011</v>
      </c>
      <c r="S23" s="4" t="str">
        <f>'(Intermediate Computations)'!U53</f>
        <v>MMM 2011</v>
      </c>
      <c r="T23" s="4" t="str">
        <f>'(Intermediate Computations)'!V53</f>
        <v>MMM 2011</v>
      </c>
      <c r="U23" s="4" t="str">
        <f>'(Intermediate Computations)'!W53</f>
        <v>MMM 2011</v>
      </c>
      <c r="V23" s="4" t="str">
        <f>'(Intermediate Computations)'!X53</f>
        <v>MMM 2011</v>
      </c>
      <c r="W23" s="4" t="str">
        <f>'(Intermediate Computations)'!Y53</f>
        <v>MMM 2011</v>
      </c>
      <c r="X23" s="4" t="str">
        <f>'(Intermediate Computations)'!Z53</f>
        <v>MMM 2011</v>
      </c>
      <c r="Y23" s="4" t="str">
        <f>'(Intermediate Computations)'!AB53</f>
        <v>MMM 2012</v>
      </c>
      <c r="Z23" s="4" t="str">
        <f>'(Intermediate Computations)'!AC53</f>
        <v>MMM 2012</v>
      </c>
      <c r="AA23" s="4" t="str">
        <f>'(Intermediate Computations)'!AD53</f>
        <v>MMM 2012</v>
      </c>
      <c r="AB23" s="4" t="str">
        <f>'(Intermediate Computations)'!AE53</f>
        <v>MMM 2012</v>
      </c>
      <c r="AC23" s="4" t="str">
        <f>'(Intermediate Computations)'!AF53</f>
        <v>MMM 2012</v>
      </c>
      <c r="AD23" s="4" t="str">
        <f>'(Intermediate Computations)'!AG53</f>
        <v>MMM 2012</v>
      </c>
      <c r="AE23" s="4" t="str">
        <f>'(Intermediate Computations)'!AH53</f>
        <v>MMM 2012</v>
      </c>
      <c r="AF23" s="4" t="str">
        <f>'(Intermediate Computations)'!AI53</f>
        <v>MMM 2012</v>
      </c>
      <c r="AG23" s="4" t="str">
        <f>'(Intermediate Computations)'!AJ53</f>
        <v>MMM 2012</v>
      </c>
      <c r="AH23" s="4" t="str">
        <f>'(Intermediate Computations)'!AK53</f>
        <v>MMM 2012</v>
      </c>
      <c r="AI23" s="4" t="str">
        <f>'(Intermediate Computations)'!AL53</f>
        <v>MMM 2012</v>
      </c>
      <c r="AJ23" s="4" t="str">
        <f>'(Intermediate Computations)'!AM53</f>
        <v>MMM 2012</v>
      </c>
      <c r="AK23" s="4" t="str">
        <f>'(Intermediate Computations)'!AO53</f>
        <v>MMM 2013</v>
      </c>
      <c r="AL23" s="4" t="str">
        <f>'(Intermediate Computations)'!AP53</f>
        <v>MMM 2013</v>
      </c>
      <c r="AM23" s="4" t="str">
        <f>'(Intermediate Computations)'!AQ53</f>
        <v>MMM 2013</v>
      </c>
      <c r="AN23" s="4" t="str">
        <f>'(Intermediate Computations)'!AR53</f>
        <v>MMM 2013</v>
      </c>
      <c r="AO23" s="4" t="str">
        <f>'(Intermediate Computations)'!AS53</f>
        <v>MMM 2013</v>
      </c>
      <c r="AP23" s="4" t="str">
        <f>'(Intermediate Computations)'!AT53</f>
        <v>MMM 2013</v>
      </c>
      <c r="AQ23" s="4" t="str">
        <f>'(Intermediate Computations)'!AU53</f>
        <v>MMM 2013</v>
      </c>
      <c r="AR23" s="4" t="str">
        <f>'(Intermediate Computations)'!AV53</f>
        <v>MMM 2013</v>
      </c>
      <c r="AS23" s="4" t="str">
        <f>'(Intermediate Computations)'!AW53</f>
        <v>MMM 2013</v>
      </c>
      <c r="AT23" s="4" t="str">
        <f>'(Intermediate Computations)'!AX53</f>
        <v>MMM 2013</v>
      </c>
      <c r="AU23" s="4" t="str">
        <f>'(Intermediate Computations)'!AY53</f>
        <v>MMM 2013</v>
      </c>
      <c r="AV23" s="4" t="str">
        <f>'(Intermediate Computations)'!AZ53</f>
        <v>MMM 2013</v>
      </c>
      <c r="AW23" s="4" t="str">
        <f>'(Intermediate Computations)'!BB53</f>
        <v>MMM 2014</v>
      </c>
      <c r="AX23" s="4" t="str">
        <f>'(Intermediate Computations)'!BC53</f>
        <v>MMM 2014</v>
      </c>
      <c r="AY23" s="4" t="str">
        <f>'(Intermediate Computations)'!BD53</f>
        <v>MMM 2014</v>
      </c>
      <c r="AZ23" s="4" t="str">
        <f>'(Intermediate Computations)'!BE53</f>
        <v>MMM 2014</v>
      </c>
      <c r="BA23" s="4" t="str">
        <f>'(Intermediate Computations)'!BF53</f>
        <v>MMM 2014</v>
      </c>
      <c r="BB23" s="4" t="str">
        <f>'(Intermediate Computations)'!BG53</f>
        <v>MMM 2014</v>
      </c>
      <c r="BC23" s="4" t="str">
        <f>'(Intermediate Computations)'!BH53</f>
        <v>MMM 2014</v>
      </c>
      <c r="BD23" s="4" t="str">
        <f>'(Intermediate Computations)'!BI53</f>
        <v>MMM 2014</v>
      </c>
      <c r="BE23" s="4" t="str">
        <f>'(Intermediate Computations)'!BJ53</f>
        <v>MMM 2014</v>
      </c>
      <c r="BF23" s="4" t="str">
        <f>'(Intermediate Computations)'!BK53</f>
        <v>MMM 2014</v>
      </c>
      <c r="BG23" s="4" t="str">
        <f>'(Intermediate Computations)'!BL53</f>
        <v>MMM 2014</v>
      </c>
      <c r="BH23" s="4" t="str">
        <f>'(Intermediate Computations)'!BM53</f>
        <v>MMM 2014</v>
      </c>
      <c r="BI23" s="4" t="str">
        <f>'(Intermediate Computations)'!BO53</f>
        <v>MMM 2015</v>
      </c>
      <c r="BJ23" s="4" t="str">
        <f>'(Intermediate Computations)'!BP53</f>
        <v>MMM 2015</v>
      </c>
      <c r="BK23" s="4" t="str">
        <f>'(Intermediate Computations)'!BQ53</f>
        <v>MMM 2015</v>
      </c>
      <c r="BL23" s="4" t="str">
        <f>'(Intermediate Computations)'!BR53</f>
        <v>MMM 2015</v>
      </c>
      <c r="BM23" s="4" t="str">
        <f>'(Intermediate Computations)'!BS53</f>
        <v>MMM 2015</v>
      </c>
      <c r="BN23" s="4" t="str">
        <f>'(Intermediate Computations)'!BT53</f>
        <v>MMM 2015</v>
      </c>
      <c r="BO23" s="4" t="str">
        <f>'(Intermediate Computations)'!BU53</f>
        <v>MMM 2015</v>
      </c>
      <c r="BP23" s="4" t="str">
        <f>'(Intermediate Computations)'!BV53</f>
        <v>MMM 2015</v>
      </c>
      <c r="BQ23" s="4" t="str">
        <f>'(Intermediate Computations)'!BW53</f>
        <v>MMM 2015</v>
      </c>
      <c r="BR23" s="4" t="str">
        <f>'(Intermediate Computations)'!BX53</f>
        <v>MMM 2015</v>
      </c>
      <c r="BS23" s="4" t="str">
        <f>'(Intermediate Computations)'!BY53</f>
        <v>MMM 2015</v>
      </c>
      <c r="BT23" s="4" t="str">
        <f>'(Intermediate Computations)'!BZ53</f>
        <v>MMM 2015</v>
      </c>
      <c r="BU23" s="4" t="str">
        <f>'(Intermediate Computations)'!CB53</f>
        <v>MMM 2016</v>
      </c>
      <c r="BV23" s="4" t="str">
        <f>'(Intermediate Computations)'!CC53</f>
        <v>MMM 2016</v>
      </c>
      <c r="BW23" s="4" t="str">
        <f>'(Intermediate Computations)'!CD53</f>
        <v>MMM 2016</v>
      </c>
      <c r="BX23" s="4" t="str">
        <f>'(Intermediate Computations)'!CE53</f>
        <v>MMM 2016</v>
      </c>
      <c r="BY23" s="4" t="str">
        <f>'(Intermediate Computations)'!CF53</f>
        <v>MMM 2016</v>
      </c>
      <c r="BZ23" s="4" t="str">
        <f>'(Intermediate Computations)'!CG53</f>
        <v>MMM 2016</v>
      </c>
      <c r="CA23" s="4" t="str">
        <f>'(Intermediate Computations)'!CH53</f>
        <v>MMM 2016</v>
      </c>
      <c r="CB23" s="4" t="str">
        <f>'(Intermediate Computations)'!CI53</f>
        <v>MMM 2016</v>
      </c>
      <c r="CC23" s="4" t="str">
        <f>'(Intermediate Computations)'!CJ53</f>
        <v>MMM 2016</v>
      </c>
      <c r="CD23" s="4" t="str">
        <f>'(Intermediate Computations)'!CK53</f>
        <v>MMM 2016</v>
      </c>
      <c r="CE23" s="4" t="str">
        <f>'(Intermediate Computations)'!CL53</f>
        <v>MMM 2016</v>
      </c>
      <c r="CF23" s="4" t="str">
        <f>'(Intermediate Computations)'!CM53</f>
        <v>MMM 2016</v>
      </c>
      <c r="CG23" s="4" t="str">
        <f>'(Intermediate Computations)'!CO53</f>
        <v>MMM 2017</v>
      </c>
      <c r="CH23" s="4" t="str">
        <f>'(Intermediate Computations)'!CP53</f>
        <v>MMM 2017</v>
      </c>
      <c r="CI23" s="4" t="str">
        <f>'(Intermediate Computations)'!CQ53</f>
        <v>MMM 2017</v>
      </c>
      <c r="CJ23" s="4" t="str">
        <f>'(Intermediate Computations)'!CR53</f>
        <v>MMM 2017</v>
      </c>
      <c r="CK23" s="4" t="str">
        <f>'(Intermediate Computations)'!CS53</f>
        <v>MMM 2017</v>
      </c>
      <c r="CL23" s="4" t="str">
        <f>'(Intermediate Computations)'!CT53</f>
        <v>MMM 2017</v>
      </c>
      <c r="CM23" s="4" t="str">
        <f>'(Intermediate Computations)'!CU53</f>
        <v>MMM 2017</v>
      </c>
      <c r="CN23" s="4" t="str">
        <f>'(Intermediate Computations)'!CV53</f>
        <v>MMM 2017</v>
      </c>
      <c r="CO23" s="4" t="str">
        <f>'(Intermediate Computations)'!CW53</f>
        <v>MMM 2017</v>
      </c>
      <c r="CP23" s="4" t="str">
        <f>'(Intermediate Computations)'!CX53</f>
        <v>MMM 2017</v>
      </c>
      <c r="CQ23" s="4" t="str">
        <f>'(Intermediate Computations)'!CY53</f>
        <v>MMM 2017</v>
      </c>
      <c r="CR23" s="4" t="str">
        <f>'(Intermediate Computations)'!CZ53</f>
        <v>MMM 2017</v>
      </c>
      <c r="CS23" s="4" t="str">
        <f>'(Intermediate Computations)'!DB53</f>
        <v>MMM 2018</v>
      </c>
      <c r="CT23" s="4" t="str">
        <f>'(Intermediate Computations)'!DC53</f>
        <v>MMM 2018</v>
      </c>
      <c r="CU23" s="4" t="str">
        <f>'(Intermediate Computations)'!DD53</f>
        <v>MMM 2018</v>
      </c>
      <c r="CV23" s="4" t="str">
        <f>'(Intermediate Computations)'!DE53</f>
        <v>MMM 2018</v>
      </c>
      <c r="CW23" s="4" t="str">
        <f>'(Intermediate Computations)'!DF53</f>
        <v>MMM 2018</v>
      </c>
      <c r="CX23" s="4" t="str">
        <f>'(Intermediate Computations)'!DG53</f>
        <v>MMM 2018</v>
      </c>
      <c r="CY23" s="4" t="str">
        <f>'(Intermediate Computations)'!DH53</f>
        <v>MMM 2018</v>
      </c>
      <c r="CZ23" s="4" t="str">
        <f>'(Intermediate Computations)'!DI53</f>
        <v>MMM 2018</v>
      </c>
      <c r="DA23" s="4" t="str">
        <f>'(Intermediate Computations)'!DJ53</f>
        <v>MMM 2018</v>
      </c>
      <c r="DB23" s="4" t="str">
        <f>'(Intermediate Computations)'!DK53</f>
        <v>MMM 2018</v>
      </c>
      <c r="DC23" s="4" t="str">
        <f>'(Intermediate Computations)'!DL53</f>
        <v>MMM 2018</v>
      </c>
      <c r="DD23" s="4" t="str">
        <f>'(Intermediate Computations)'!DM53</f>
        <v>MMM 2018</v>
      </c>
      <c r="DE23" s="4" t="str">
        <f>'(Intermediate Computations)'!DO53</f>
        <v>MMM 2019</v>
      </c>
      <c r="DF23" s="4" t="str">
        <f>'(Intermediate Computations)'!DP53</f>
        <v>MMM 2019</v>
      </c>
      <c r="DG23" s="4" t="str">
        <f>'(Intermediate Computations)'!DQ53</f>
        <v>MMM 2019</v>
      </c>
      <c r="DH23" s="4" t="str">
        <f>'(Intermediate Computations)'!DR53</f>
        <v>MMM 2019</v>
      </c>
      <c r="DI23" s="4" t="str">
        <f>'(Intermediate Computations)'!DS53</f>
        <v>MMM 2019</v>
      </c>
      <c r="DJ23" s="4" t="str">
        <f>'(Intermediate Computations)'!DT53</f>
        <v>MMM 2019</v>
      </c>
      <c r="DK23" s="4" t="str">
        <f>'(Intermediate Computations)'!DU53</f>
        <v>MMM 2019</v>
      </c>
      <c r="DL23" s="4" t="str">
        <f>'(Intermediate Computations)'!DV53</f>
        <v>MMM 2019</v>
      </c>
      <c r="DM23" s="4" t="str">
        <f>'(Intermediate Computations)'!DW53</f>
        <v>MMM 2019</v>
      </c>
      <c r="DN23" s="4" t="str">
        <f>'(Intermediate Computations)'!DX53</f>
        <v>MMM 2019</v>
      </c>
      <c r="DO23" s="4" t="str">
        <f>'(Intermediate Computations)'!DY53</f>
        <v>MMM 2019</v>
      </c>
      <c r="DP23" s="4" t="str">
        <f>'(Intermediate Computations)'!DZ53</f>
        <v>MMM 2019</v>
      </c>
      <c r="DQ23" s="4" t="str">
        <f>'(Intermediate Computations)'!EB53</f>
        <v>MMM 2020</v>
      </c>
      <c r="DR23" s="4" t="str">
        <f>'(Intermediate Computations)'!EC53</f>
        <v>MMM 2020</v>
      </c>
      <c r="DS23" s="4" t="str">
        <f>'(Intermediate Computations)'!ED53</f>
        <v>MMM 2020</v>
      </c>
      <c r="DT23" s="4" t="str">
        <f>'(Intermediate Computations)'!EE53</f>
        <v>MMM 2020</v>
      </c>
      <c r="DU23" s="4" t="str">
        <f>'(Intermediate Computations)'!EF53</f>
        <v>MMM 2020</v>
      </c>
      <c r="DV23" s="4" t="str">
        <f>'(Intermediate Computations)'!EG53</f>
        <v>MMM 2020</v>
      </c>
      <c r="DW23" s="4" t="str">
        <f>'(Intermediate Computations)'!EH53</f>
        <v>MMM 2020</v>
      </c>
      <c r="DX23" s="4" t="str">
        <f>'(Intermediate Computations)'!EI53</f>
        <v>MMM 2020</v>
      </c>
      <c r="DY23" s="4" t="str">
        <f>'(Intermediate Computations)'!EJ53</f>
        <v>MMM 2020</v>
      </c>
      <c r="DZ23" s="4" t="str">
        <f>'(Intermediate Computations)'!EK53</f>
        <v>MMM 2020</v>
      </c>
      <c r="EA23" s="4" t="str">
        <f>'(Intermediate Computations)'!EL53</f>
        <v>MMM 2020</v>
      </c>
      <c r="EB23" s="4" t="str">
        <f>'(Intermediate Computations)'!EM53</f>
        <v>MMM 2020</v>
      </c>
    </row>
    <row r="24" spans="1:132" ht="12.75" customHeight="1" x14ac:dyDescent="0.2">
      <c r="A24" s="4">
        <f>'(Intermediate Computations)'!B50</f>
        <v>40179</v>
      </c>
      <c r="B24" s="4">
        <f>'(Intermediate Computations)'!C50</f>
        <v>40210</v>
      </c>
      <c r="C24" s="4">
        <f>'(Intermediate Computations)'!D50</f>
        <v>40238</v>
      </c>
      <c r="D24" s="4">
        <f>'(Intermediate Computations)'!E50</f>
        <v>40269</v>
      </c>
      <c r="E24" s="4">
        <f>'(Intermediate Computations)'!F50</f>
        <v>40299</v>
      </c>
      <c r="F24" s="4">
        <f>'(Intermediate Computations)'!G50</f>
        <v>40330</v>
      </c>
      <c r="G24" s="4">
        <f>'(Intermediate Computations)'!H50</f>
        <v>40360</v>
      </c>
      <c r="H24" s="4">
        <f>'(Intermediate Computations)'!I50</f>
        <v>40391</v>
      </c>
      <c r="I24" s="4">
        <f>'(Intermediate Computations)'!J50</f>
        <v>40422</v>
      </c>
      <c r="J24" s="4">
        <f>'(Intermediate Computations)'!K50</f>
        <v>40452</v>
      </c>
      <c r="K24" s="4">
        <f>'(Intermediate Computations)'!L50</f>
        <v>40483</v>
      </c>
      <c r="L24" s="4">
        <f>'(Intermediate Computations)'!M50</f>
        <v>40513</v>
      </c>
      <c r="M24" s="4">
        <f>'(Intermediate Computations)'!O50</f>
        <v>40544</v>
      </c>
      <c r="N24" s="4">
        <f>'(Intermediate Computations)'!P50</f>
        <v>40575</v>
      </c>
      <c r="O24" s="4">
        <f>'(Intermediate Computations)'!Q50</f>
        <v>40603</v>
      </c>
      <c r="P24" s="4">
        <f>'(Intermediate Computations)'!R50</f>
        <v>40634</v>
      </c>
      <c r="Q24" s="4">
        <f>'(Intermediate Computations)'!S50</f>
        <v>40664</v>
      </c>
      <c r="R24" s="4">
        <f>'(Intermediate Computations)'!T50</f>
        <v>40695</v>
      </c>
      <c r="S24" s="4">
        <f>'(Intermediate Computations)'!U50</f>
        <v>40725</v>
      </c>
      <c r="T24" s="4">
        <f>'(Intermediate Computations)'!V50</f>
        <v>40756</v>
      </c>
      <c r="U24" s="4">
        <f>'(Intermediate Computations)'!W50</f>
        <v>40787</v>
      </c>
      <c r="V24" s="4">
        <f>'(Intermediate Computations)'!X50</f>
        <v>40817</v>
      </c>
      <c r="W24" s="4">
        <f>'(Intermediate Computations)'!Y50</f>
        <v>40848</v>
      </c>
      <c r="X24" s="4">
        <f>'(Intermediate Computations)'!Z50</f>
        <v>40878</v>
      </c>
      <c r="Y24" s="4">
        <f>'(Intermediate Computations)'!AB50</f>
        <v>40909</v>
      </c>
      <c r="Z24" s="4">
        <f>'(Intermediate Computations)'!AC50</f>
        <v>40940</v>
      </c>
      <c r="AA24" s="4">
        <f>'(Intermediate Computations)'!AD50</f>
        <v>40969</v>
      </c>
      <c r="AB24" s="4">
        <f>'(Intermediate Computations)'!AE50</f>
        <v>41000</v>
      </c>
      <c r="AC24" s="4">
        <f>'(Intermediate Computations)'!AF50</f>
        <v>41030</v>
      </c>
      <c r="AD24" s="4">
        <f>'(Intermediate Computations)'!AG50</f>
        <v>41061</v>
      </c>
      <c r="AE24" s="4">
        <f>'(Intermediate Computations)'!AH50</f>
        <v>41091</v>
      </c>
      <c r="AF24" s="4">
        <f>'(Intermediate Computations)'!AI50</f>
        <v>41122</v>
      </c>
      <c r="AG24" s="4">
        <f>'(Intermediate Computations)'!AJ50</f>
        <v>41153</v>
      </c>
      <c r="AH24" s="4">
        <f>'(Intermediate Computations)'!AK50</f>
        <v>41183</v>
      </c>
      <c r="AI24" s="4">
        <f>'(Intermediate Computations)'!AL50</f>
        <v>41214</v>
      </c>
      <c r="AJ24" s="4">
        <f>'(Intermediate Computations)'!AM50</f>
        <v>41244</v>
      </c>
      <c r="AK24" s="4">
        <f>'(Intermediate Computations)'!AO50</f>
        <v>41275</v>
      </c>
      <c r="AL24" s="4">
        <f>'(Intermediate Computations)'!AP50</f>
        <v>41306</v>
      </c>
      <c r="AM24" s="4">
        <f>'(Intermediate Computations)'!AQ50</f>
        <v>41334</v>
      </c>
      <c r="AN24" s="4">
        <f>'(Intermediate Computations)'!AR50</f>
        <v>41365</v>
      </c>
      <c r="AO24" s="4">
        <f>'(Intermediate Computations)'!AS50</f>
        <v>41395</v>
      </c>
      <c r="AP24" s="4">
        <f>'(Intermediate Computations)'!AT50</f>
        <v>41426</v>
      </c>
      <c r="AQ24" s="4">
        <f>'(Intermediate Computations)'!AU50</f>
        <v>41456</v>
      </c>
      <c r="AR24" s="4">
        <f>'(Intermediate Computations)'!AV50</f>
        <v>41487</v>
      </c>
      <c r="AS24" s="4">
        <f>'(Intermediate Computations)'!AW50</f>
        <v>41518</v>
      </c>
      <c r="AT24" s="4">
        <f>'(Intermediate Computations)'!AX50</f>
        <v>41548</v>
      </c>
      <c r="AU24" s="4">
        <f>'(Intermediate Computations)'!AY50</f>
        <v>41579</v>
      </c>
      <c r="AV24" s="4">
        <f>'(Intermediate Computations)'!AZ50</f>
        <v>41609</v>
      </c>
      <c r="AW24" s="4">
        <f>'(Intermediate Computations)'!BB50</f>
        <v>41640</v>
      </c>
      <c r="AX24" s="4">
        <f>'(Intermediate Computations)'!BC50</f>
        <v>41671</v>
      </c>
      <c r="AY24" s="4">
        <f>'(Intermediate Computations)'!BD50</f>
        <v>41699</v>
      </c>
      <c r="AZ24" s="4">
        <f>'(Intermediate Computations)'!BE50</f>
        <v>41730</v>
      </c>
      <c r="BA24" s="4">
        <f>'(Intermediate Computations)'!BF50</f>
        <v>41760</v>
      </c>
      <c r="BB24" s="4">
        <f>'(Intermediate Computations)'!BG50</f>
        <v>41791</v>
      </c>
      <c r="BC24" s="4">
        <f>'(Intermediate Computations)'!BH50</f>
        <v>41821</v>
      </c>
      <c r="BD24" s="4">
        <f>'(Intermediate Computations)'!BI50</f>
        <v>41852</v>
      </c>
      <c r="BE24" s="4">
        <f>'(Intermediate Computations)'!BJ50</f>
        <v>41883</v>
      </c>
      <c r="BF24" s="4">
        <f>'(Intermediate Computations)'!BK50</f>
        <v>41913</v>
      </c>
      <c r="BG24" s="4">
        <f>'(Intermediate Computations)'!BL50</f>
        <v>41944</v>
      </c>
      <c r="BH24" s="4">
        <f>'(Intermediate Computations)'!BM50</f>
        <v>41974</v>
      </c>
      <c r="BI24" s="4">
        <f>'(Intermediate Computations)'!BO50</f>
        <v>42005</v>
      </c>
      <c r="BJ24" s="4">
        <f>'(Intermediate Computations)'!BP50</f>
        <v>42036</v>
      </c>
      <c r="BK24" s="4">
        <f>'(Intermediate Computations)'!BQ50</f>
        <v>42064</v>
      </c>
      <c r="BL24" s="4">
        <f>'(Intermediate Computations)'!BR50</f>
        <v>42095</v>
      </c>
      <c r="BM24" s="4">
        <f>'(Intermediate Computations)'!BS50</f>
        <v>42125</v>
      </c>
      <c r="BN24" s="4">
        <f>'(Intermediate Computations)'!BT50</f>
        <v>42156</v>
      </c>
      <c r="BO24" s="4">
        <f>'(Intermediate Computations)'!BU50</f>
        <v>42186</v>
      </c>
      <c r="BP24" s="4">
        <f>'(Intermediate Computations)'!BV50</f>
        <v>42217</v>
      </c>
      <c r="BQ24" s="4">
        <f>'(Intermediate Computations)'!BW50</f>
        <v>42248</v>
      </c>
      <c r="BR24" s="4">
        <f>'(Intermediate Computations)'!BX50</f>
        <v>42278</v>
      </c>
      <c r="BS24" s="4">
        <f>'(Intermediate Computations)'!BY50</f>
        <v>42309</v>
      </c>
      <c r="BT24" s="4">
        <f>'(Intermediate Computations)'!BZ50</f>
        <v>42339</v>
      </c>
      <c r="BU24" s="4">
        <f>'(Intermediate Computations)'!CB50</f>
        <v>42370</v>
      </c>
      <c r="BV24" s="4">
        <f>'(Intermediate Computations)'!CC50</f>
        <v>42401</v>
      </c>
      <c r="BW24" s="4">
        <f>'(Intermediate Computations)'!CD50</f>
        <v>42430</v>
      </c>
      <c r="BX24" s="4">
        <f>'(Intermediate Computations)'!CE50</f>
        <v>42461</v>
      </c>
      <c r="BY24" s="4">
        <f>'(Intermediate Computations)'!CF50</f>
        <v>42491</v>
      </c>
      <c r="BZ24" s="4">
        <f>'(Intermediate Computations)'!CG50</f>
        <v>42522</v>
      </c>
      <c r="CA24" s="4">
        <f>'(Intermediate Computations)'!CH50</f>
        <v>42552</v>
      </c>
      <c r="CB24" s="4">
        <f>'(Intermediate Computations)'!CI50</f>
        <v>42583</v>
      </c>
      <c r="CC24" s="4">
        <f>'(Intermediate Computations)'!CJ50</f>
        <v>42614</v>
      </c>
      <c r="CD24" s="4">
        <f>'(Intermediate Computations)'!CK50</f>
        <v>42644</v>
      </c>
      <c r="CE24" s="4">
        <f>'(Intermediate Computations)'!CL50</f>
        <v>42675</v>
      </c>
      <c r="CF24" s="4">
        <f>'(Intermediate Computations)'!CM50</f>
        <v>42705</v>
      </c>
      <c r="CG24" s="4">
        <f>'(Intermediate Computations)'!CO50</f>
        <v>42736</v>
      </c>
      <c r="CH24" s="4">
        <f>'(Intermediate Computations)'!CP50</f>
        <v>42767</v>
      </c>
      <c r="CI24" s="4">
        <f>'(Intermediate Computations)'!CQ50</f>
        <v>42795</v>
      </c>
      <c r="CJ24" s="4">
        <f>'(Intermediate Computations)'!CR50</f>
        <v>42826</v>
      </c>
      <c r="CK24" s="4">
        <f>'(Intermediate Computations)'!CS50</f>
        <v>42856</v>
      </c>
      <c r="CL24" s="4">
        <f>'(Intermediate Computations)'!CT50</f>
        <v>42887</v>
      </c>
      <c r="CM24" s="4">
        <f>'(Intermediate Computations)'!CU50</f>
        <v>42917</v>
      </c>
      <c r="CN24" s="4">
        <f>'(Intermediate Computations)'!CV50</f>
        <v>42948</v>
      </c>
      <c r="CO24" s="4">
        <f>'(Intermediate Computations)'!CW50</f>
        <v>42979</v>
      </c>
      <c r="CP24" s="4">
        <f>'(Intermediate Computations)'!CX50</f>
        <v>43009</v>
      </c>
      <c r="CQ24" s="4">
        <f>'(Intermediate Computations)'!CY50</f>
        <v>43040</v>
      </c>
      <c r="CR24" s="4">
        <f>'(Intermediate Computations)'!CZ50</f>
        <v>43070</v>
      </c>
      <c r="CS24" s="4">
        <f>'(Intermediate Computations)'!DB50</f>
        <v>43101</v>
      </c>
      <c r="CT24" s="4">
        <f>'(Intermediate Computations)'!DC50</f>
        <v>43132</v>
      </c>
      <c r="CU24" s="4">
        <f>'(Intermediate Computations)'!DD50</f>
        <v>43160</v>
      </c>
      <c r="CV24" s="4">
        <f>'(Intermediate Computations)'!DE50</f>
        <v>43191</v>
      </c>
      <c r="CW24" s="4">
        <f>'(Intermediate Computations)'!DF50</f>
        <v>43221</v>
      </c>
      <c r="CX24" s="4">
        <f>'(Intermediate Computations)'!DG50</f>
        <v>43252</v>
      </c>
      <c r="CY24" s="4">
        <f>'(Intermediate Computations)'!DH50</f>
        <v>43282</v>
      </c>
      <c r="CZ24" s="4">
        <f>'(Intermediate Computations)'!DI50</f>
        <v>43313</v>
      </c>
      <c r="DA24" s="4">
        <f>'(Intermediate Computations)'!DJ50</f>
        <v>43344</v>
      </c>
      <c r="DB24" s="4">
        <f>'(Intermediate Computations)'!DK50</f>
        <v>43374</v>
      </c>
      <c r="DC24" s="4">
        <f>'(Intermediate Computations)'!DL50</f>
        <v>43405</v>
      </c>
      <c r="DD24" s="4">
        <f>'(Intermediate Computations)'!DM50</f>
        <v>43435</v>
      </c>
      <c r="DE24" s="4">
        <f>'(Intermediate Computations)'!DO50</f>
        <v>43466</v>
      </c>
      <c r="DF24" s="4">
        <f>'(Intermediate Computations)'!DP50</f>
        <v>43497</v>
      </c>
      <c r="DG24" s="4">
        <f>'(Intermediate Computations)'!DQ50</f>
        <v>43525</v>
      </c>
      <c r="DH24" s="4">
        <f>'(Intermediate Computations)'!DR50</f>
        <v>43556</v>
      </c>
      <c r="DI24" s="4">
        <f>'(Intermediate Computations)'!DS50</f>
        <v>43586</v>
      </c>
      <c r="DJ24" s="4">
        <f>'(Intermediate Computations)'!DT50</f>
        <v>43617</v>
      </c>
      <c r="DK24" s="4">
        <f>'(Intermediate Computations)'!DU50</f>
        <v>43647</v>
      </c>
      <c r="DL24" s="4">
        <f>'(Intermediate Computations)'!DV50</f>
        <v>43678</v>
      </c>
      <c r="DM24" s="4">
        <f>'(Intermediate Computations)'!DW50</f>
        <v>43709</v>
      </c>
      <c r="DN24" s="4">
        <f>'(Intermediate Computations)'!DX50</f>
        <v>43739</v>
      </c>
      <c r="DO24" s="4">
        <f>'(Intermediate Computations)'!DY50</f>
        <v>43770</v>
      </c>
      <c r="DP24" s="4">
        <f>'(Intermediate Computations)'!DZ50</f>
        <v>43800</v>
      </c>
      <c r="DQ24" s="4">
        <f>'(Intermediate Computations)'!EB50</f>
        <v>43831</v>
      </c>
      <c r="DR24" s="4">
        <f>'(Intermediate Computations)'!EC50</f>
        <v>43862</v>
      </c>
      <c r="DS24" s="4">
        <f>'(Intermediate Computations)'!ED50</f>
        <v>43891</v>
      </c>
      <c r="DT24" s="4">
        <f>'(Intermediate Computations)'!EE50</f>
        <v>43922</v>
      </c>
      <c r="DU24" s="4">
        <f>'(Intermediate Computations)'!EF50</f>
        <v>43952</v>
      </c>
      <c r="DV24" s="4">
        <f>'(Intermediate Computations)'!EG50</f>
        <v>43983</v>
      </c>
      <c r="DW24" s="4">
        <f>'(Intermediate Computations)'!EH50</f>
        <v>44013</v>
      </c>
      <c r="DX24" s="4">
        <f>'(Intermediate Computations)'!EI50</f>
        <v>44044</v>
      </c>
      <c r="DY24" s="4">
        <f>'(Intermediate Computations)'!EJ50</f>
        <v>44075</v>
      </c>
      <c r="DZ24" s="4">
        <f>'(Intermediate Computations)'!EK50</f>
        <v>44105</v>
      </c>
      <c r="EA24" s="4">
        <f>'(Intermediate Computations)'!EL50</f>
        <v>44136</v>
      </c>
      <c r="EB24" s="4">
        <f>'(Intermediate Computations)'!EM50</f>
        <v>44166</v>
      </c>
    </row>
    <row r="25" spans="1:132" ht="12.75" customHeight="1" x14ac:dyDescent="0.2">
      <c r="A25" s="58">
        <f>Employment!B9</f>
        <v>140</v>
      </c>
      <c r="B25" s="58">
        <f ca="1">Employment!C9</f>
        <v>139.99587990449342</v>
      </c>
      <c r="C25" s="58">
        <f ca="1">Employment!D9</f>
        <v>139.94390373387768</v>
      </c>
      <c r="D25" s="58">
        <f ca="1">Employment!E9</f>
        <v>140.02449639081297</v>
      </c>
      <c r="E25" s="58">
        <f ca="1">Employment!F9</f>
        <v>140.11885788595282</v>
      </c>
      <c r="F25" s="58">
        <f ca="1">Employment!G9</f>
        <v>140.02780841058566</v>
      </c>
      <c r="G25" s="58">
        <f ca="1">Employment!H9</f>
        <v>140.03825992897958</v>
      </c>
      <c r="H25" s="58">
        <f ca="1">Employment!I9</f>
        <v>140.02167558249928</v>
      </c>
      <c r="I25" s="58">
        <f ca="1">Employment!J9</f>
        <v>140.03600385960121</v>
      </c>
      <c r="J25" s="58">
        <f ca="1">Employment!K9</f>
        <v>140.07478252364791</v>
      </c>
      <c r="K25" s="58">
        <f ca="1">Employment!L9</f>
        <v>140.08299075046193</v>
      </c>
      <c r="L25" s="58">
        <f ca="1">Employment!M9</f>
        <v>140.10658667562652</v>
      </c>
      <c r="M25" s="58">
        <f ca="1">Employment!O9</f>
        <v>140.13402183198559</v>
      </c>
      <c r="N25" s="58">
        <f ca="1">Employment!P9</f>
        <v>140.10387730209882</v>
      </c>
      <c r="O25" s="58">
        <f ca="1">Employment!Q9</f>
        <v>140.18463137392345</v>
      </c>
      <c r="P25" s="58">
        <f ca="1">Employment!R9</f>
        <v>140.11846193305962</v>
      </c>
      <c r="Q25" s="58">
        <f ca="1">Employment!S9</f>
        <v>140.17050575067927</v>
      </c>
      <c r="R25" s="58">
        <f ca="1">Employment!T9</f>
        <v>140.25411958602234</v>
      </c>
      <c r="S25" s="58">
        <f ca="1">Employment!U9</f>
        <v>140.35039276441492</v>
      </c>
      <c r="T25" s="58">
        <f ca="1">Employment!V9</f>
        <v>140.24490203383519</v>
      </c>
      <c r="U25" s="58">
        <f ca="1">Employment!W9</f>
        <v>140.25164323633183</v>
      </c>
      <c r="V25" s="58">
        <f ca="1">Employment!X9</f>
        <v>140.31855494345871</v>
      </c>
      <c r="W25" s="58">
        <f ca="1">Employment!Y9</f>
        <v>140.22584014061064</v>
      </c>
      <c r="X25" s="58">
        <f ca="1">Employment!Z9</f>
        <v>140.25478183824603</v>
      </c>
      <c r="Y25" s="58">
        <f ca="1">Employment!AB9</f>
        <v>140.25116443158532</v>
      </c>
      <c r="Z25" s="58">
        <f ca="1">Employment!AC9</f>
        <v>140.29911620214753</v>
      </c>
      <c r="AA25" s="58">
        <f ca="1">Employment!AD9</f>
        <v>140.35875892615314</v>
      </c>
      <c r="AB25" s="58">
        <f ca="1">Employment!AE9</f>
        <v>140.38592855511649</v>
      </c>
      <c r="AC25" s="58">
        <f ca="1">Employment!AF9</f>
        <v>140.45250511866854</v>
      </c>
      <c r="AD25" s="58">
        <f ca="1">Employment!AG9</f>
        <v>140.51823625558384</v>
      </c>
      <c r="AE25" s="58">
        <f ca="1">Employment!AH9</f>
        <v>140.50355156108665</v>
      </c>
      <c r="AF25" s="58">
        <f ca="1">Employment!AI9</f>
        <v>140.46916697059075</v>
      </c>
      <c r="AG25" s="58">
        <f ca="1">Employment!AJ9</f>
        <v>140.43181825716181</v>
      </c>
      <c r="AH25" s="58">
        <f ca="1">Employment!AK9</f>
        <v>140.48445967932125</v>
      </c>
      <c r="AI25" s="58">
        <f ca="1">Employment!AL9</f>
        <v>140.42238585765566</v>
      </c>
      <c r="AJ25" s="58">
        <f ca="1">Employment!AM9</f>
        <v>140.42023264415812</v>
      </c>
      <c r="AK25" s="58">
        <f ca="1">Employment!AO9</f>
        <v>140.39382880120598</v>
      </c>
      <c r="AL25" s="58">
        <f ca="1">Employment!AP9</f>
        <v>140.38125384423773</v>
      </c>
      <c r="AM25" s="58">
        <f ca="1">Employment!AQ9</f>
        <v>140.37972300049756</v>
      </c>
      <c r="AN25" s="58">
        <f ca="1">Employment!AR9</f>
        <v>140.3126359387517</v>
      </c>
      <c r="AO25" s="58">
        <f ca="1">Employment!AS9</f>
        <v>140.33253840755094</v>
      </c>
      <c r="AP25" s="58">
        <f ca="1">Employment!AT9</f>
        <v>140.31449790229479</v>
      </c>
      <c r="AQ25" s="58">
        <f ca="1">Employment!AU9</f>
        <v>140.34086843940568</v>
      </c>
      <c r="AR25" s="58">
        <f ca="1">Employment!AV9</f>
        <v>140.37489487689518</v>
      </c>
      <c r="AS25" s="58">
        <f ca="1">Employment!AW9</f>
        <v>140.3839806024564</v>
      </c>
      <c r="AT25" s="58">
        <f ca="1">Employment!AX9</f>
        <v>140.46663918261592</v>
      </c>
      <c r="AU25" s="58">
        <f ca="1">Employment!AY9</f>
        <v>140.41227524869862</v>
      </c>
      <c r="AV25" s="58">
        <f ca="1">Employment!AZ9</f>
        <v>140.34886836084797</v>
      </c>
      <c r="AW25" s="58">
        <f ca="1">Employment!BB9</f>
        <v>140.42656856493227</v>
      </c>
      <c r="AX25" s="58">
        <f ca="1">Employment!BC9</f>
        <v>140.50994935570441</v>
      </c>
      <c r="AY25" s="58">
        <f ca="1">Employment!BD9</f>
        <v>140.45806910123267</v>
      </c>
      <c r="AZ25" s="58">
        <f ca="1">Employment!BE9</f>
        <v>140.40805602040314</v>
      </c>
      <c r="BA25" s="58">
        <f ca="1">Employment!BF9</f>
        <v>140.42453161600179</v>
      </c>
      <c r="BB25" s="58">
        <f ca="1">Employment!BG9</f>
        <v>140.35487289710895</v>
      </c>
      <c r="BC25" s="58">
        <f ca="1">Employment!BH9</f>
        <v>140.31645022821709</v>
      </c>
      <c r="BD25" s="58">
        <f ca="1">Employment!BI9</f>
        <v>140.30833876918277</v>
      </c>
      <c r="BE25" s="58">
        <f ca="1">Employment!BJ9</f>
        <v>140.27356426262151</v>
      </c>
      <c r="BF25" s="58">
        <f ca="1">Employment!BK9</f>
        <v>140.35305513089938</v>
      </c>
      <c r="BG25" s="58">
        <f ca="1">Employment!BL9</f>
        <v>140.30168191457531</v>
      </c>
      <c r="BH25" s="58">
        <f ca="1">Employment!BM9</f>
        <v>140.3762647912055</v>
      </c>
      <c r="BI25" s="58">
        <f ca="1">Employment!BO9</f>
        <v>140.29051868228973</v>
      </c>
      <c r="BJ25" s="58">
        <f ca="1">Employment!BP9</f>
        <v>140.34399525261381</v>
      </c>
      <c r="BK25" s="58">
        <f ca="1">Employment!BQ9</f>
        <v>140.4233432401615</v>
      </c>
      <c r="BL25" s="58">
        <f ca="1">Employment!BR9</f>
        <v>140.40817031657537</v>
      </c>
      <c r="BM25" s="58">
        <f ca="1">Employment!BS9</f>
        <v>140.35624594957079</v>
      </c>
      <c r="BN25" s="58">
        <f ca="1">Employment!BT9</f>
        <v>140.45518352494008</v>
      </c>
      <c r="BO25" s="58">
        <f ca="1">Employment!BU9</f>
        <v>140.40104643981473</v>
      </c>
      <c r="BP25" s="58">
        <f ca="1">Employment!BV9</f>
        <v>140.45815108180909</v>
      </c>
      <c r="BQ25" s="58">
        <f ca="1">Employment!BW9</f>
        <v>140.48773360328789</v>
      </c>
      <c r="BR25" s="58">
        <f ca="1">Employment!BX9</f>
        <v>140.55842966915625</v>
      </c>
      <c r="BS25" s="58">
        <f ca="1">Employment!BY9</f>
        <v>140.53834439207293</v>
      </c>
      <c r="BT25" s="58">
        <f ca="1">Employment!BZ9</f>
        <v>140.46832244621788</v>
      </c>
      <c r="BU25" s="58">
        <f ca="1">Employment!CB9</f>
        <v>140.47558153549343</v>
      </c>
      <c r="BV25" s="58">
        <f ca="1">Employment!CC9</f>
        <v>140.44778952160775</v>
      </c>
      <c r="BW25" s="58">
        <f ca="1">Employment!CD9</f>
        <v>140.41741135599759</v>
      </c>
      <c r="BX25" s="58">
        <f ca="1">Employment!CE9</f>
        <v>140.39021874739743</v>
      </c>
      <c r="BY25" s="58">
        <f ca="1">Employment!CF9</f>
        <v>140.3740420910861</v>
      </c>
      <c r="BZ25" s="58">
        <f ca="1">Employment!CG9</f>
        <v>140.41398407251327</v>
      </c>
      <c r="CA25" s="58">
        <f ca="1">Employment!CH9</f>
        <v>140.37805097288248</v>
      </c>
      <c r="CB25" s="58">
        <f ca="1">Employment!CI9</f>
        <v>140.32466037565868</v>
      </c>
      <c r="CC25" s="58">
        <f ca="1">Employment!CJ9</f>
        <v>140.26745184920296</v>
      </c>
      <c r="CD25" s="58">
        <f ca="1">Employment!CK9</f>
        <v>140.25995269365993</v>
      </c>
      <c r="CE25" s="58">
        <f ca="1">Employment!CL9</f>
        <v>140.19887241269504</v>
      </c>
      <c r="CF25" s="58">
        <f ca="1">Employment!CM9</f>
        <v>140.24435162261017</v>
      </c>
      <c r="CG25" s="58">
        <f ca="1">Employment!CO9</f>
        <v>140.26730828569359</v>
      </c>
      <c r="CH25" s="58">
        <f ca="1">Employment!CP9</f>
        <v>140.19458528993408</v>
      </c>
      <c r="CI25" s="58">
        <f ca="1">Employment!CQ9</f>
        <v>140.11473765982609</v>
      </c>
      <c r="CJ25" s="58">
        <f ca="1">Employment!CR9</f>
        <v>140.06896316982164</v>
      </c>
      <c r="CK25" s="58">
        <f ca="1">Employment!CS9</f>
        <v>140.04368523690525</v>
      </c>
      <c r="CL25" s="58">
        <f ca="1">Employment!CT9</f>
        <v>140.01186424186568</v>
      </c>
      <c r="CM25" s="58">
        <f ca="1">Employment!CU9</f>
        <v>140.00815846390407</v>
      </c>
      <c r="CN25" s="58">
        <f ca="1">Employment!CV9</f>
        <v>140.05708807004888</v>
      </c>
      <c r="CO25" s="58">
        <f ca="1">Employment!CW9</f>
        <v>140.08569979280588</v>
      </c>
      <c r="CP25" s="58">
        <f ca="1">Employment!CX9</f>
        <v>140.12208998006886</v>
      </c>
      <c r="CQ25" s="58">
        <f ca="1">Employment!CY9</f>
        <v>140.09496734644426</v>
      </c>
      <c r="CR25" s="58">
        <f ca="1">Employment!CZ9</f>
        <v>140.09597327334691</v>
      </c>
      <c r="CS25" s="58">
        <f ca="1">Employment!DB9</f>
        <v>140.15455274623369</v>
      </c>
      <c r="CT25" s="58">
        <f ca="1">Employment!DC9</f>
        <v>140.17745452475873</v>
      </c>
      <c r="CU25" s="58">
        <f ca="1">Employment!DD9</f>
        <v>140.19743903729164</v>
      </c>
      <c r="CV25" s="58">
        <f ca="1">Employment!DE9</f>
        <v>140.11255525036611</v>
      </c>
      <c r="CW25" s="58">
        <f ca="1">Employment!DF9</f>
        <v>140.03726249708592</v>
      </c>
      <c r="CX25" s="58">
        <f ca="1">Employment!DG9</f>
        <v>140.01491773668849</v>
      </c>
      <c r="CY25" s="58">
        <f ca="1">Employment!DH9</f>
        <v>140.03099827366171</v>
      </c>
      <c r="CZ25" s="58">
        <f ca="1">Employment!DI9</f>
        <v>139.97891916288685</v>
      </c>
      <c r="DA25" s="58">
        <f ca="1">Employment!DJ9</f>
        <v>139.92976080342828</v>
      </c>
      <c r="DB25" s="58">
        <f ca="1">Employment!DK9</f>
        <v>139.94579268085215</v>
      </c>
      <c r="DC25" s="58">
        <f ca="1">Employment!DL9</f>
        <v>139.95689103488783</v>
      </c>
      <c r="DD25" s="58">
        <f ca="1">Employment!DM9</f>
        <v>139.99938724820007</v>
      </c>
      <c r="DE25" s="58">
        <f ca="1">Employment!DO9</f>
        <v>139.89863058601148</v>
      </c>
      <c r="DF25" s="58">
        <f ca="1">Employment!DP9</f>
        <v>139.92536334215947</v>
      </c>
      <c r="DG25" s="58">
        <f ca="1">Employment!DQ9</f>
        <v>139.89314710661222</v>
      </c>
      <c r="DH25" s="58">
        <f ca="1">Employment!DR9</f>
        <v>139.83651380539368</v>
      </c>
      <c r="DI25" s="58">
        <f ca="1">Employment!DS9</f>
        <v>139.88292723855284</v>
      </c>
      <c r="DJ25" s="58">
        <f ca="1">Employment!DT9</f>
        <v>139.87973265716653</v>
      </c>
      <c r="DK25" s="58">
        <f ca="1">Employment!DU9</f>
        <v>139.81297688249325</v>
      </c>
      <c r="DL25" s="58">
        <f ca="1">Employment!DV9</f>
        <v>139.8860829646718</v>
      </c>
      <c r="DM25" s="58">
        <f ca="1">Employment!DW9</f>
        <v>139.91714064044916</v>
      </c>
      <c r="DN25" s="58">
        <f ca="1">Employment!DX9</f>
        <v>139.84573341569597</v>
      </c>
      <c r="DO25" s="58">
        <f ca="1">Employment!DY9</f>
        <v>139.8712890397683</v>
      </c>
      <c r="DP25" s="58">
        <f ca="1">Employment!DZ9</f>
        <v>139.88269135037024</v>
      </c>
      <c r="DQ25" s="58">
        <f ca="1">Employment!EB9</f>
        <v>139.94286376172261</v>
      </c>
      <c r="DR25" s="58">
        <f ca="1">Employment!EC9</f>
        <v>139.86789991980012</v>
      </c>
      <c r="DS25" s="58">
        <f ca="1">Employment!ED9</f>
        <v>139.80079730701203</v>
      </c>
      <c r="DT25" s="58">
        <f ca="1">Employment!EE9</f>
        <v>139.8249298551041</v>
      </c>
      <c r="DU25" s="58">
        <f ca="1">Employment!EF9</f>
        <v>139.76427545149534</v>
      </c>
      <c r="DV25" s="58">
        <f ca="1">Employment!EG9</f>
        <v>139.83980181114637</v>
      </c>
      <c r="DW25" s="58">
        <f ca="1">Employment!EH9</f>
        <v>139.81578615027382</v>
      </c>
      <c r="DX25" s="58">
        <f ca="1">Employment!EI9</f>
        <v>139.72392877708961</v>
      </c>
      <c r="DY25" s="58">
        <f ca="1">Employment!EJ9</f>
        <v>139.74616357086677</v>
      </c>
      <c r="DZ25" s="58">
        <f ca="1">Employment!EK9</f>
        <v>139.65791093425804</v>
      </c>
      <c r="EA25" s="58">
        <f ca="1">Employment!EL9</f>
        <v>139.72028508892464</v>
      </c>
      <c r="EB25" s="58">
        <f ca="1">Employment!EM9</f>
        <v>139.70252197929725</v>
      </c>
    </row>
    <row r="26" spans="1:132" ht="12.75" customHeight="1" x14ac:dyDescent="0.2">
      <c r="A26" s="4" t="str">
        <f>'(Intermediate Computations)'!B59</f>
        <v>MMM 2010</v>
      </c>
      <c r="B26" s="4" t="str">
        <f>'(Intermediate Computations)'!C59</f>
        <v>MMM 2010</v>
      </c>
      <c r="C26" s="4" t="str">
        <f>'(Intermediate Computations)'!D59</f>
        <v>MMM 2010</v>
      </c>
      <c r="D26" s="4" t="str">
        <f>'(Intermediate Computations)'!E59</f>
        <v>MMM 2010</v>
      </c>
      <c r="E26" s="4" t="str">
        <f>'(Intermediate Computations)'!F59</f>
        <v>MMM 2010</v>
      </c>
      <c r="F26" s="4" t="str">
        <f>'(Intermediate Computations)'!G59</f>
        <v>MMM 2010</v>
      </c>
      <c r="G26" s="4" t="str">
        <f>'(Intermediate Computations)'!H59</f>
        <v>MMM 2010</v>
      </c>
      <c r="H26" s="4" t="str">
        <f>'(Intermediate Computations)'!I59</f>
        <v>MMM 2010</v>
      </c>
      <c r="I26" s="4" t="str">
        <f>'(Intermediate Computations)'!J59</f>
        <v>MMM 2010</v>
      </c>
      <c r="J26" s="4" t="str">
        <f>'(Intermediate Computations)'!K59</f>
        <v>MMM 2010</v>
      </c>
      <c r="K26" s="4" t="str">
        <f>'(Intermediate Computations)'!L59</f>
        <v>MMM 2010</v>
      </c>
      <c r="L26" s="4" t="str">
        <f>'(Intermediate Computations)'!M59</f>
        <v>MMM 2010</v>
      </c>
      <c r="M26" s="4" t="str">
        <f>'(Intermediate Computations)'!O59</f>
        <v>MMM 2011</v>
      </c>
      <c r="N26" s="4" t="str">
        <f>'(Intermediate Computations)'!P59</f>
        <v>MMM 2011</v>
      </c>
      <c r="O26" s="4" t="str">
        <f>'(Intermediate Computations)'!Q59</f>
        <v>MMM 2011</v>
      </c>
      <c r="P26" s="4" t="str">
        <f>'(Intermediate Computations)'!R59</f>
        <v>MMM 2011</v>
      </c>
      <c r="Q26" s="4" t="str">
        <f>'(Intermediate Computations)'!S59</f>
        <v>MMM 2011</v>
      </c>
      <c r="R26" s="4" t="str">
        <f>'(Intermediate Computations)'!T59</f>
        <v>MMM 2011</v>
      </c>
      <c r="S26" s="4" t="str">
        <f>'(Intermediate Computations)'!U59</f>
        <v>MMM 2011</v>
      </c>
      <c r="T26" s="4" t="str">
        <f>'(Intermediate Computations)'!V59</f>
        <v>MMM 2011</v>
      </c>
      <c r="U26" s="4" t="str">
        <f>'(Intermediate Computations)'!W59</f>
        <v>MMM 2011</v>
      </c>
      <c r="V26" s="4" t="str">
        <f>'(Intermediate Computations)'!X59</f>
        <v>MMM 2011</v>
      </c>
      <c r="W26" s="4" t="str">
        <f>'(Intermediate Computations)'!Y59</f>
        <v>MMM 2011</v>
      </c>
      <c r="X26" s="4" t="str">
        <f>'(Intermediate Computations)'!Z59</f>
        <v>MMM 2011</v>
      </c>
      <c r="Y26" s="4" t="str">
        <f>'(Intermediate Computations)'!AB59</f>
        <v>MMM 2012</v>
      </c>
      <c r="Z26" s="4" t="str">
        <f>'(Intermediate Computations)'!AC59</f>
        <v>MMM 2012</v>
      </c>
      <c r="AA26" s="4" t="str">
        <f>'(Intermediate Computations)'!AD59</f>
        <v>MMM 2012</v>
      </c>
      <c r="AB26" s="4" t="str">
        <f>'(Intermediate Computations)'!AE59</f>
        <v>MMM 2012</v>
      </c>
      <c r="AC26" s="4" t="str">
        <f>'(Intermediate Computations)'!AF59</f>
        <v>MMM 2012</v>
      </c>
      <c r="AD26" s="4" t="str">
        <f>'(Intermediate Computations)'!AG59</f>
        <v>MMM 2012</v>
      </c>
      <c r="AE26" s="4" t="str">
        <f>'(Intermediate Computations)'!AH59</f>
        <v>MMM 2012</v>
      </c>
      <c r="AF26" s="4" t="str">
        <f>'(Intermediate Computations)'!AI59</f>
        <v>MMM 2012</v>
      </c>
      <c r="AG26" s="4" t="str">
        <f>'(Intermediate Computations)'!AJ59</f>
        <v>MMM 2012</v>
      </c>
      <c r="AH26" s="4" t="str">
        <f>'(Intermediate Computations)'!AK59</f>
        <v>MMM 2012</v>
      </c>
      <c r="AI26" s="4" t="str">
        <f>'(Intermediate Computations)'!AL59</f>
        <v>MMM 2012</v>
      </c>
      <c r="AJ26" s="4" t="str">
        <f>'(Intermediate Computations)'!AM59</f>
        <v>MMM 2012</v>
      </c>
      <c r="AK26" s="4" t="str">
        <f>'(Intermediate Computations)'!AO59</f>
        <v>MMM 2013</v>
      </c>
      <c r="AL26" s="4" t="str">
        <f>'(Intermediate Computations)'!AP59</f>
        <v>MMM 2013</v>
      </c>
      <c r="AM26" s="4" t="str">
        <f>'(Intermediate Computations)'!AQ59</f>
        <v>MMM 2013</v>
      </c>
      <c r="AN26" s="4" t="str">
        <f>'(Intermediate Computations)'!AR59</f>
        <v>MMM 2013</v>
      </c>
      <c r="AO26" s="4" t="str">
        <f>'(Intermediate Computations)'!AS59</f>
        <v>MMM 2013</v>
      </c>
      <c r="AP26" s="4" t="str">
        <f>'(Intermediate Computations)'!AT59</f>
        <v>MMM 2013</v>
      </c>
      <c r="AQ26" s="4" t="str">
        <f>'(Intermediate Computations)'!AU59</f>
        <v>MMM 2013</v>
      </c>
      <c r="AR26" s="4" t="str">
        <f>'(Intermediate Computations)'!AV59</f>
        <v>MMM 2013</v>
      </c>
      <c r="AS26" s="4" t="str">
        <f>'(Intermediate Computations)'!AW59</f>
        <v>MMM 2013</v>
      </c>
      <c r="AT26" s="4" t="str">
        <f>'(Intermediate Computations)'!AX59</f>
        <v>MMM 2013</v>
      </c>
      <c r="AU26" s="4" t="str">
        <f>'(Intermediate Computations)'!AY59</f>
        <v>MMM 2013</v>
      </c>
      <c r="AV26" s="4" t="str">
        <f>'(Intermediate Computations)'!AZ59</f>
        <v>MMM 2013</v>
      </c>
      <c r="AW26" s="4" t="str">
        <f>'(Intermediate Computations)'!BB59</f>
        <v>MMM 2014</v>
      </c>
      <c r="AX26" s="4" t="str">
        <f>'(Intermediate Computations)'!BC59</f>
        <v>MMM 2014</v>
      </c>
      <c r="AY26" s="4" t="str">
        <f>'(Intermediate Computations)'!BD59</f>
        <v>MMM 2014</v>
      </c>
      <c r="AZ26" s="4" t="str">
        <f>'(Intermediate Computations)'!BE59</f>
        <v>MMM 2014</v>
      </c>
      <c r="BA26" s="4" t="str">
        <f>'(Intermediate Computations)'!BF59</f>
        <v>MMM 2014</v>
      </c>
      <c r="BB26" s="4" t="str">
        <f>'(Intermediate Computations)'!BG59</f>
        <v>MMM 2014</v>
      </c>
      <c r="BC26" s="4" t="str">
        <f>'(Intermediate Computations)'!BH59</f>
        <v>MMM 2014</v>
      </c>
      <c r="BD26" s="4" t="str">
        <f>'(Intermediate Computations)'!BI59</f>
        <v>MMM 2014</v>
      </c>
      <c r="BE26" s="4" t="str">
        <f>'(Intermediate Computations)'!BJ59</f>
        <v>MMM 2014</v>
      </c>
      <c r="BF26" s="4" t="str">
        <f>'(Intermediate Computations)'!BK59</f>
        <v>MMM 2014</v>
      </c>
      <c r="BG26" s="4" t="str">
        <f>'(Intermediate Computations)'!BL59</f>
        <v>MMM 2014</v>
      </c>
      <c r="BH26" s="4" t="str">
        <f>'(Intermediate Computations)'!BM59</f>
        <v>MMM 2014</v>
      </c>
      <c r="BI26" s="4" t="str">
        <f>'(Intermediate Computations)'!BO59</f>
        <v>MMM 2015</v>
      </c>
      <c r="BJ26" s="4" t="str">
        <f>'(Intermediate Computations)'!BP59</f>
        <v>MMM 2015</v>
      </c>
      <c r="BK26" s="4" t="str">
        <f>'(Intermediate Computations)'!BQ59</f>
        <v>MMM 2015</v>
      </c>
      <c r="BL26" s="4" t="str">
        <f>'(Intermediate Computations)'!BR59</f>
        <v>MMM 2015</v>
      </c>
      <c r="BM26" s="4" t="str">
        <f>'(Intermediate Computations)'!BS59</f>
        <v>MMM 2015</v>
      </c>
      <c r="BN26" s="4" t="str">
        <f>'(Intermediate Computations)'!BT59</f>
        <v>MMM 2015</v>
      </c>
      <c r="BO26" s="4" t="str">
        <f>'(Intermediate Computations)'!BU59</f>
        <v>MMM 2015</v>
      </c>
      <c r="BP26" s="4" t="str">
        <f>'(Intermediate Computations)'!BV59</f>
        <v>MMM 2015</v>
      </c>
      <c r="BQ26" s="4" t="str">
        <f>'(Intermediate Computations)'!BW59</f>
        <v>MMM 2015</v>
      </c>
      <c r="BR26" s="4" t="str">
        <f>'(Intermediate Computations)'!BX59</f>
        <v>MMM 2015</v>
      </c>
      <c r="BS26" s="4" t="str">
        <f>'(Intermediate Computations)'!BY59</f>
        <v>MMM 2015</v>
      </c>
      <c r="BT26" s="4" t="str">
        <f>'(Intermediate Computations)'!BZ59</f>
        <v>MMM 2015</v>
      </c>
      <c r="BU26" s="4" t="str">
        <f>'(Intermediate Computations)'!CB59</f>
        <v>MMM 2016</v>
      </c>
      <c r="BV26" s="4" t="str">
        <f>'(Intermediate Computations)'!CC59</f>
        <v>MMM 2016</v>
      </c>
      <c r="BW26" s="4" t="str">
        <f>'(Intermediate Computations)'!CD59</f>
        <v>MMM 2016</v>
      </c>
      <c r="BX26" s="4" t="str">
        <f>'(Intermediate Computations)'!CE59</f>
        <v>MMM 2016</v>
      </c>
      <c r="BY26" s="4" t="str">
        <f>'(Intermediate Computations)'!CF59</f>
        <v>MMM 2016</v>
      </c>
      <c r="BZ26" s="4" t="str">
        <f>'(Intermediate Computations)'!CG59</f>
        <v>MMM 2016</v>
      </c>
      <c r="CA26" s="4" t="str">
        <f>'(Intermediate Computations)'!CH59</f>
        <v>MMM 2016</v>
      </c>
      <c r="CB26" s="4" t="str">
        <f>'(Intermediate Computations)'!CI59</f>
        <v>MMM 2016</v>
      </c>
      <c r="CC26" s="4" t="str">
        <f>'(Intermediate Computations)'!CJ59</f>
        <v>MMM 2016</v>
      </c>
      <c r="CD26" s="4" t="str">
        <f>'(Intermediate Computations)'!CK59</f>
        <v>MMM 2016</v>
      </c>
      <c r="CE26" s="4" t="str">
        <f>'(Intermediate Computations)'!CL59</f>
        <v>MMM 2016</v>
      </c>
      <c r="CF26" s="4" t="str">
        <f>'(Intermediate Computations)'!CM59</f>
        <v>MMM 2016</v>
      </c>
      <c r="CG26" s="4" t="str">
        <f>'(Intermediate Computations)'!CO59</f>
        <v>MMM 2017</v>
      </c>
      <c r="CH26" s="4" t="str">
        <f>'(Intermediate Computations)'!CP59</f>
        <v>MMM 2017</v>
      </c>
      <c r="CI26" s="4" t="str">
        <f>'(Intermediate Computations)'!CQ59</f>
        <v>MMM 2017</v>
      </c>
      <c r="CJ26" s="4" t="str">
        <f>'(Intermediate Computations)'!CR59</f>
        <v>MMM 2017</v>
      </c>
      <c r="CK26" s="4" t="str">
        <f>'(Intermediate Computations)'!CS59</f>
        <v>MMM 2017</v>
      </c>
      <c r="CL26" s="4" t="str">
        <f>'(Intermediate Computations)'!CT59</f>
        <v>MMM 2017</v>
      </c>
      <c r="CM26" s="4" t="str">
        <f>'(Intermediate Computations)'!CU59</f>
        <v>MMM 2017</v>
      </c>
      <c r="CN26" s="4" t="str">
        <f>'(Intermediate Computations)'!CV59</f>
        <v>MMM 2017</v>
      </c>
      <c r="CO26" s="4" t="str">
        <f>'(Intermediate Computations)'!CW59</f>
        <v>MMM 2017</v>
      </c>
      <c r="CP26" s="4" t="str">
        <f>'(Intermediate Computations)'!CX59</f>
        <v>MMM 2017</v>
      </c>
      <c r="CQ26" s="4" t="str">
        <f>'(Intermediate Computations)'!CY59</f>
        <v>MMM 2017</v>
      </c>
      <c r="CR26" s="4" t="str">
        <f>'(Intermediate Computations)'!CZ59</f>
        <v>MMM 2017</v>
      </c>
      <c r="CS26" s="4" t="str">
        <f>'(Intermediate Computations)'!DB59</f>
        <v>MMM 2018</v>
      </c>
      <c r="CT26" s="4" t="str">
        <f>'(Intermediate Computations)'!DC59</f>
        <v>MMM 2018</v>
      </c>
      <c r="CU26" s="4" t="str">
        <f>'(Intermediate Computations)'!DD59</f>
        <v>MMM 2018</v>
      </c>
      <c r="CV26" s="4" t="str">
        <f>'(Intermediate Computations)'!DE59</f>
        <v>MMM 2018</v>
      </c>
      <c r="CW26" s="4" t="str">
        <f>'(Intermediate Computations)'!DF59</f>
        <v>MMM 2018</v>
      </c>
      <c r="CX26" s="4" t="str">
        <f>'(Intermediate Computations)'!DG59</f>
        <v>MMM 2018</v>
      </c>
      <c r="CY26" s="4" t="str">
        <f>'(Intermediate Computations)'!DH59</f>
        <v>MMM 2018</v>
      </c>
      <c r="CZ26" s="4" t="str">
        <f>'(Intermediate Computations)'!DI59</f>
        <v>MMM 2018</v>
      </c>
      <c r="DA26" s="4" t="str">
        <f>'(Intermediate Computations)'!DJ59</f>
        <v>MMM 2018</v>
      </c>
      <c r="DB26" s="4" t="str">
        <f>'(Intermediate Computations)'!DK59</f>
        <v>MMM 2018</v>
      </c>
      <c r="DC26" s="4" t="str">
        <f>'(Intermediate Computations)'!DL59</f>
        <v>MMM 2018</v>
      </c>
      <c r="DD26" s="4" t="str">
        <f>'(Intermediate Computations)'!DM59</f>
        <v>MMM 2018</v>
      </c>
      <c r="DE26" s="4" t="str">
        <f>'(Intermediate Computations)'!DO59</f>
        <v>MMM 2019</v>
      </c>
      <c r="DF26" s="4" t="str">
        <f>'(Intermediate Computations)'!DP59</f>
        <v>MMM 2019</v>
      </c>
      <c r="DG26" s="4" t="str">
        <f>'(Intermediate Computations)'!DQ59</f>
        <v>MMM 2019</v>
      </c>
      <c r="DH26" s="4" t="str">
        <f>'(Intermediate Computations)'!DR59</f>
        <v>MMM 2019</v>
      </c>
      <c r="DI26" s="4" t="str">
        <f>'(Intermediate Computations)'!DS59</f>
        <v>MMM 2019</v>
      </c>
      <c r="DJ26" s="4" t="str">
        <f>'(Intermediate Computations)'!DT59</f>
        <v>MMM 2019</v>
      </c>
      <c r="DK26" s="4" t="str">
        <f>'(Intermediate Computations)'!DU59</f>
        <v>MMM 2019</v>
      </c>
      <c r="DL26" s="4" t="str">
        <f>'(Intermediate Computations)'!DV59</f>
        <v>MMM 2019</v>
      </c>
      <c r="DM26" s="4" t="str">
        <f>'(Intermediate Computations)'!DW59</f>
        <v>MMM 2019</v>
      </c>
      <c r="DN26" s="4" t="str">
        <f>'(Intermediate Computations)'!DX59</f>
        <v>MMM 2019</v>
      </c>
      <c r="DO26" s="4" t="str">
        <f>'(Intermediate Computations)'!DY59</f>
        <v>MMM 2019</v>
      </c>
      <c r="DP26" s="4" t="str">
        <f>'(Intermediate Computations)'!DZ59</f>
        <v>MMM 2019</v>
      </c>
      <c r="DQ26" s="4" t="str">
        <f>'(Intermediate Computations)'!EB59</f>
        <v>MMM 2020</v>
      </c>
      <c r="DR26" s="4" t="str">
        <f>'(Intermediate Computations)'!EC59</f>
        <v>MMM 2020</v>
      </c>
      <c r="DS26" s="4" t="str">
        <f>'(Intermediate Computations)'!ED59</f>
        <v>MMM 2020</v>
      </c>
      <c r="DT26" s="4" t="str">
        <f>'(Intermediate Computations)'!EE59</f>
        <v>MMM 2020</v>
      </c>
      <c r="DU26" s="4" t="str">
        <f>'(Intermediate Computations)'!EF59</f>
        <v>MMM 2020</v>
      </c>
      <c r="DV26" s="4" t="str">
        <f>'(Intermediate Computations)'!EG59</f>
        <v>MMM 2020</v>
      </c>
      <c r="DW26" s="4" t="str">
        <f>'(Intermediate Computations)'!EH59</f>
        <v>MMM 2020</v>
      </c>
      <c r="DX26" s="4" t="str">
        <f>'(Intermediate Computations)'!EI59</f>
        <v>MMM 2020</v>
      </c>
      <c r="DY26" s="4" t="str">
        <f>'(Intermediate Computations)'!EJ59</f>
        <v>MMM 2020</v>
      </c>
      <c r="DZ26" s="4" t="str">
        <f>'(Intermediate Computations)'!EK59</f>
        <v>MMM 2020</v>
      </c>
      <c r="EA26" s="4" t="str">
        <f>'(Intermediate Computations)'!EL59</f>
        <v>MMM 2020</v>
      </c>
      <c r="EB26" s="4" t="str">
        <f>'(Intermediate Computations)'!EM59</f>
        <v>MMM 2020</v>
      </c>
    </row>
    <row r="27" spans="1:132" ht="12.75" customHeight="1" x14ac:dyDescent="0.2">
      <c r="A27" s="4">
        <f>'(Intermediate Computations)'!B56</f>
        <v>40179</v>
      </c>
      <c r="B27" s="4">
        <f>'(Intermediate Computations)'!C56</f>
        <v>40210</v>
      </c>
      <c r="C27" s="4">
        <f>'(Intermediate Computations)'!D56</f>
        <v>40238</v>
      </c>
      <c r="D27" s="4">
        <f>'(Intermediate Computations)'!E56</f>
        <v>40269</v>
      </c>
      <c r="E27" s="4">
        <f>'(Intermediate Computations)'!F56</f>
        <v>40299</v>
      </c>
      <c r="F27" s="4">
        <f>'(Intermediate Computations)'!G56</f>
        <v>40330</v>
      </c>
      <c r="G27" s="4">
        <f>'(Intermediate Computations)'!H56</f>
        <v>40360</v>
      </c>
      <c r="H27" s="4">
        <f>'(Intermediate Computations)'!I56</f>
        <v>40391</v>
      </c>
      <c r="I27" s="4">
        <f>'(Intermediate Computations)'!J56</f>
        <v>40422</v>
      </c>
      <c r="J27" s="4">
        <f>'(Intermediate Computations)'!K56</f>
        <v>40452</v>
      </c>
      <c r="K27" s="4">
        <f>'(Intermediate Computations)'!L56</f>
        <v>40483</v>
      </c>
      <c r="L27" s="4">
        <f>'(Intermediate Computations)'!M56</f>
        <v>40513</v>
      </c>
      <c r="M27" s="4">
        <f>'(Intermediate Computations)'!O56</f>
        <v>40544</v>
      </c>
      <c r="N27" s="4">
        <f>'(Intermediate Computations)'!P56</f>
        <v>40575</v>
      </c>
      <c r="O27" s="4">
        <f>'(Intermediate Computations)'!Q56</f>
        <v>40603</v>
      </c>
      <c r="P27" s="4">
        <f>'(Intermediate Computations)'!R56</f>
        <v>40634</v>
      </c>
      <c r="Q27" s="4">
        <f>'(Intermediate Computations)'!S56</f>
        <v>40664</v>
      </c>
      <c r="R27" s="4">
        <f>'(Intermediate Computations)'!T56</f>
        <v>40695</v>
      </c>
      <c r="S27" s="4">
        <f>'(Intermediate Computations)'!U56</f>
        <v>40725</v>
      </c>
      <c r="T27" s="4">
        <f>'(Intermediate Computations)'!V56</f>
        <v>40756</v>
      </c>
      <c r="U27" s="4">
        <f>'(Intermediate Computations)'!W56</f>
        <v>40787</v>
      </c>
      <c r="V27" s="4">
        <f>'(Intermediate Computations)'!X56</f>
        <v>40817</v>
      </c>
      <c r="W27" s="4">
        <f>'(Intermediate Computations)'!Y56</f>
        <v>40848</v>
      </c>
      <c r="X27" s="4">
        <f>'(Intermediate Computations)'!Z56</f>
        <v>40878</v>
      </c>
      <c r="Y27" s="4">
        <f>'(Intermediate Computations)'!AB56</f>
        <v>40909</v>
      </c>
      <c r="Z27" s="4">
        <f>'(Intermediate Computations)'!AC56</f>
        <v>40940</v>
      </c>
      <c r="AA27" s="4">
        <f>'(Intermediate Computations)'!AD56</f>
        <v>40969</v>
      </c>
      <c r="AB27" s="4">
        <f>'(Intermediate Computations)'!AE56</f>
        <v>41000</v>
      </c>
      <c r="AC27" s="4">
        <f>'(Intermediate Computations)'!AF56</f>
        <v>41030</v>
      </c>
      <c r="AD27" s="4">
        <f>'(Intermediate Computations)'!AG56</f>
        <v>41061</v>
      </c>
      <c r="AE27" s="4">
        <f>'(Intermediate Computations)'!AH56</f>
        <v>41091</v>
      </c>
      <c r="AF27" s="4">
        <f>'(Intermediate Computations)'!AI56</f>
        <v>41122</v>
      </c>
      <c r="AG27" s="4">
        <f>'(Intermediate Computations)'!AJ56</f>
        <v>41153</v>
      </c>
      <c r="AH27" s="4">
        <f>'(Intermediate Computations)'!AK56</f>
        <v>41183</v>
      </c>
      <c r="AI27" s="4">
        <f>'(Intermediate Computations)'!AL56</f>
        <v>41214</v>
      </c>
      <c r="AJ27" s="4">
        <f>'(Intermediate Computations)'!AM56</f>
        <v>41244</v>
      </c>
      <c r="AK27" s="4">
        <f>'(Intermediate Computations)'!AO56</f>
        <v>41275</v>
      </c>
      <c r="AL27" s="4">
        <f>'(Intermediate Computations)'!AP56</f>
        <v>41306</v>
      </c>
      <c r="AM27" s="4">
        <f>'(Intermediate Computations)'!AQ56</f>
        <v>41334</v>
      </c>
      <c r="AN27" s="4">
        <f>'(Intermediate Computations)'!AR56</f>
        <v>41365</v>
      </c>
      <c r="AO27" s="4">
        <f>'(Intermediate Computations)'!AS56</f>
        <v>41395</v>
      </c>
      <c r="AP27" s="4">
        <f>'(Intermediate Computations)'!AT56</f>
        <v>41426</v>
      </c>
      <c r="AQ27" s="4">
        <f>'(Intermediate Computations)'!AU56</f>
        <v>41456</v>
      </c>
      <c r="AR27" s="4">
        <f>'(Intermediate Computations)'!AV56</f>
        <v>41487</v>
      </c>
      <c r="AS27" s="4">
        <f>'(Intermediate Computations)'!AW56</f>
        <v>41518</v>
      </c>
      <c r="AT27" s="4">
        <f>'(Intermediate Computations)'!AX56</f>
        <v>41548</v>
      </c>
      <c r="AU27" s="4">
        <f>'(Intermediate Computations)'!AY56</f>
        <v>41579</v>
      </c>
      <c r="AV27" s="4">
        <f>'(Intermediate Computations)'!AZ56</f>
        <v>41609</v>
      </c>
      <c r="AW27" s="4">
        <f>'(Intermediate Computations)'!BB56</f>
        <v>41640</v>
      </c>
      <c r="AX27" s="4">
        <f>'(Intermediate Computations)'!BC56</f>
        <v>41671</v>
      </c>
      <c r="AY27" s="4">
        <f>'(Intermediate Computations)'!BD56</f>
        <v>41699</v>
      </c>
      <c r="AZ27" s="4">
        <f>'(Intermediate Computations)'!BE56</f>
        <v>41730</v>
      </c>
      <c r="BA27" s="4">
        <f>'(Intermediate Computations)'!BF56</f>
        <v>41760</v>
      </c>
      <c r="BB27" s="4">
        <f>'(Intermediate Computations)'!BG56</f>
        <v>41791</v>
      </c>
      <c r="BC27" s="4">
        <f>'(Intermediate Computations)'!BH56</f>
        <v>41821</v>
      </c>
      <c r="BD27" s="4">
        <f>'(Intermediate Computations)'!BI56</f>
        <v>41852</v>
      </c>
      <c r="BE27" s="4">
        <f>'(Intermediate Computations)'!BJ56</f>
        <v>41883</v>
      </c>
      <c r="BF27" s="4">
        <f>'(Intermediate Computations)'!BK56</f>
        <v>41913</v>
      </c>
      <c r="BG27" s="4">
        <f>'(Intermediate Computations)'!BL56</f>
        <v>41944</v>
      </c>
      <c r="BH27" s="4">
        <f>'(Intermediate Computations)'!BM56</f>
        <v>41974</v>
      </c>
      <c r="BI27" s="4">
        <f>'(Intermediate Computations)'!BO56</f>
        <v>42005</v>
      </c>
      <c r="BJ27" s="4">
        <f>'(Intermediate Computations)'!BP56</f>
        <v>42036</v>
      </c>
      <c r="BK27" s="4">
        <f>'(Intermediate Computations)'!BQ56</f>
        <v>42064</v>
      </c>
      <c r="BL27" s="4">
        <f>'(Intermediate Computations)'!BR56</f>
        <v>42095</v>
      </c>
      <c r="BM27" s="4">
        <f>'(Intermediate Computations)'!BS56</f>
        <v>42125</v>
      </c>
      <c r="BN27" s="4">
        <f>'(Intermediate Computations)'!BT56</f>
        <v>42156</v>
      </c>
      <c r="BO27" s="4">
        <f>'(Intermediate Computations)'!BU56</f>
        <v>42186</v>
      </c>
      <c r="BP27" s="4">
        <f>'(Intermediate Computations)'!BV56</f>
        <v>42217</v>
      </c>
      <c r="BQ27" s="4">
        <f>'(Intermediate Computations)'!BW56</f>
        <v>42248</v>
      </c>
      <c r="BR27" s="4">
        <f>'(Intermediate Computations)'!BX56</f>
        <v>42278</v>
      </c>
      <c r="BS27" s="4">
        <f>'(Intermediate Computations)'!BY56</f>
        <v>42309</v>
      </c>
      <c r="BT27" s="4">
        <f>'(Intermediate Computations)'!BZ56</f>
        <v>42339</v>
      </c>
      <c r="BU27" s="4">
        <f>'(Intermediate Computations)'!CB56</f>
        <v>42370</v>
      </c>
      <c r="BV27" s="4">
        <f>'(Intermediate Computations)'!CC56</f>
        <v>42401</v>
      </c>
      <c r="BW27" s="4">
        <f>'(Intermediate Computations)'!CD56</f>
        <v>42430</v>
      </c>
      <c r="BX27" s="4">
        <f>'(Intermediate Computations)'!CE56</f>
        <v>42461</v>
      </c>
      <c r="BY27" s="4">
        <f>'(Intermediate Computations)'!CF56</f>
        <v>42491</v>
      </c>
      <c r="BZ27" s="4">
        <f>'(Intermediate Computations)'!CG56</f>
        <v>42522</v>
      </c>
      <c r="CA27" s="4">
        <f>'(Intermediate Computations)'!CH56</f>
        <v>42552</v>
      </c>
      <c r="CB27" s="4">
        <f>'(Intermediate Computations)'!CI56</f>
        <v>42583</v>
      </c>
      <c r="CC27" s="4">
        <f>'(Intermediate Computations)'!CJ56</f>
        <v>42614</v>
      </c>
      <c r="CD27" s="4">
        <f>'(Intermediate Computations)'!CK56</f>
        <v>42644</v>
      </c>
      <c r="CE27" s="4">
        <f>'(Intermediate Computations)'!CL56</f>
        <v>42675</v>
      </c>
      <c r="CF27" s="4">
        <f>'(Intermediate Computations)'!CM56</f>
        <v>42705</v>
      </c>
      <c r="CG27" s="4">
        <f>'(Intermediate Computations)'!CO56</f>
        <v>42736</v>
      </c>
      <c r="CH27" s="4">
        <f>'(Intermediate Computations)'!CP56</f>
        <v>42767</v>
      </c>
      <c r="CI27" s="4">
        <f>'(Intermediate Computations)'!CQ56</f>
        <v>42795</v>
      </c>
      <c r="CJ27" s="4">
        <f>'(Intermediate Computations)'!CR56</f>
        <v>42826</v>
      </c>
      <c r="CK27" s="4">
        <f>'(Intermediate Computations)'!CS56</f>
        <v>42856</v>
      </c>
      <c r="CL27" s="4">
        <f>'(Intermediate Computations)'!CT56</f>
        <v>42887</v>
      </c>
      <c r="CM27" s="4">
        <f>'(Intermediate Computations)'!CU56</f>
        <v>42917</v>
      </c>
      <c r="CN27" s="4">
        <f>'(Intermediate Computations)'!CV56</f>
        <v>42948</v>
      </c>
      <c r="CO27" s="4">
        <f>'(Intermediate Computations)'!CW56</f>
        <v>42979</v>
      </c>
      <c r="CP27" s="4">
        <f>'(Intermediate Computations)'!CX56</f>
        <v>43009</v>
      </c>
      <c r="CQ27" s="4">
        <f>'(Intermediate Computations)'!CY56</f>
        <v>43040</v>
      </c>
      <c r="CR27" s="4">
        <f>'(Intermediate Computations)'!CZ56</f>
        <v>43070</v>
      </c>
      <c r="CS27" s="4">
        <f>'(Intermediate Computations)'!DB56</f>
        <v>43101</v>
      </c>
      <c r="CT27" s="4">
        <f>'(Intermediate Computations)'!DC56</f>
        <v>43132</v>
      </c>
      <c r="CU27" s="4">
        <f>'(Intermediate Computations)'!DD56</f>
        <v>43160</v>
      </c>
      <c r="CV27" s="4">
        <f>'(Intermediate Computations)'!DE56</f>
        <v>43191</v>
      </c>
      <c r="CW27" s="4">
        <f>'(Intermediate Computations)'!DF56</f>
        <v>43221</v>
      </c>
      <c r="CX27" s="4">
        <f>'(Intermediate Computations)'!DG56</f>
        <v>43252</v>
      </c>
      <c r="CY27" s="4">
        <f>'(Intermediate Computations)'!DH56</f>
        <v>43282</v>
      </c>
      <c r="CZ27" s="4">
        <f>'(Intermediate Computations)'!DI56</f>
        <v>43313</v>
      </c>
      <c r="DA27" s="4">
        <f>'(Intermediate Computations)'!DJ56</f>
        <v>43344</v>
      </c>
      <c r="DB27" s="4">
        <f>'(Intermediate Computations)'!DK56</f>
        <v>43374</v>
      </c>
      <c r="DC27" s="4">
        <f>'(Intermediate Computations)'!DL56</f>
        <v>43405</v>
      </c>
      <c r="DD27" s="4">
        <f>'(Intermediate Computations)'!DM56</f>
        <v>43435</v>
      </c>
      <c r="DE27" s="4">
        <f>'(Intermediate Computations)'!DO56</f>
        <v>43466</v>
      </c>
      <c r="DF27" s="4">
        <f>'(Intermediate Computations)'!DP56</f>
        <v>43497</v>
      </c>
      <c r="DG27" s="4">
        <f>'(Intermediate Computations)'!DQ56</f>
        <v>43525</v>
      </c>
      <c r="DH27" s="4">
        <f>'(Intermediate Computations)'!DR56</f>
        <v>43556</v>
      </c>
      <c r="DI27" s="4">
        <f>'(Intermediate Computations)'!DS56</f>
        <v>43586</v>
      </c>
      <c r="DJ27" s="4">
        <f>'(Intermediate Computations)'!DT56</f>
        <v>43617</v>
      </c>
      <c r="DK27" s="4">
        <f>'(Intermediate Computations)'!DU56</f>
        <v>43647</v>
      </c>
      <c r="DL27" s="4">
        <f>'(Intermediate Computations)'!DV56</f>
        <v>43678</v>
      </c>
      <c r="DM27" s="4">
        <f>'(Intermediate Computations)'!DW56</f>
        <v>43709</v>
      </c>
      <c r="DN27" s="4">
        <f>'(Intermediate Computations)'!DX56</f>
        <v>43739</v>
      </c>
      <c r="DO27" s="4">
        <f>'(Intermediate Computations)'!DY56</f>
        <v>43770</v>
      </c>
      <c r="DP27" s="4">
        <f>'(Intermediate Computations)'!DZ56</f>
        <v>43800</v>
      </c>
      <c r="DQ27" s="4">
        <f>'(Intermediate Computations)'!EB56</f>
        <v>43831</v>
      </c>
      <c r="DR27" s="4">
        <f>'(Intermediate Computations)'!EC56</f>
        <v>43862</v>
      </c>
      <c r="DS27" s="4">
        <f>'(Intermediate Computations)'!ED56</f>
        <v>43891</v>
      </c>
      <c r="DT27" s="4">
        <f>'(Intermediate Computations)'!EE56</f>
        <v>43922</v>
      </c>
      <c r="DU27" s="4">
        <f>'(Intermediate Computations)'!EF56</f>
        <v>43952</v>
      </c>
      <c r="DV27" s="4">
        <f>'(Intermediate Computations)'!EG56</f>
        <v>43983</v>
      </c>
      <c r="DW27" s="4">
        <f>'(Intermediate Computations)'!EH56</f>
        <v>44013</v>
      </c>
      <c r="DX27" s="4">
        <f>'(Intermediate Computations)'!EI56</f>
        <v>44044</v>
      </c>
      <c r="DY27" s="4">
        <f>'(Intermediate Computations)'!EJ56</f>
        <v>44075</v>
      </c>
      <c r="DZ27" s="4">
        <f>'(Intermediate Computations)'!EK56</f>
        <v>44105</v>
      </c>
      <c r="EA27" s="4">
        <f>'(Intermediate Computations)'!EL56</f>
        <v>44136</v>
      </c>
      <c r="EB27" s="4">
        <f>'(Intermediate Computations)'!EM56</f>
        <v>44166</v>
      </c>
    </row>
    <row r="28" spans="1:132" ht="12.75" customHeight="1" x14ac:dyDescent="0.2">
      <c r="A28" s="57">
        <f>Demand!B13</f>
        <v>1166666.6666666667</v>
      </c>
      <c r="B28" s="57">
        <f ca="1">Demand!C13</f>
        <v>1166632.3325374452</v>
      </c>
      <c r="C28" s="57">
        <f ca="1">Demand!D13</f>
        <v>1166199.1977823139</v>
      </c>
      <c r="D28" s="57">
        <f ca="1">Demand!E13</f>
        <v>1166870.8032567748</v>
      </c>
      <c r="E28" s="57">
        <f ca="1">Demand!F13</f>
        <v>1167657.1490496069</v>
      </c>
      <c r="F28" s="57">
        <f ca="1">Demand!G13</f>
        <v>1166898.4034215473</v>
      </c>
      <c r="G28" s="57">
        <f ca="1">Demand!H13</f>
        <v>1166985.4994081631</v>
      </c>
      <c r="H28" s="57">
        <f ca="1">Demand!I13</f>
        <v>1166847.2965208273</v>
      </c>
      <c r="I28" s="57">
        <f ca="1">Demand!J13</f>
        <v>1166966.6988300101</v>
      </c>
      <c r="J28" s="57">
        <f ca="1">Demand!K13</f>
        <v>1167289.8543637327</v>
      </c>
      <c r="K28" s="57">
        <f ca="1">Demand!L13</f>
        <v>1167358.2562538495</v>
      </c>
      <c r="L28" s="57">
        <f ca="1">Demand!M13</f>
        <v>1167554.8889635543</v>
      </c>
      <c r="M28" s="57">
        <f ca="1">Demand!O13</f>
        <v>1167783.5152665465</v>
      </c>
      <c r="N28" s="57">
        <f ca="1">Demand!P13</f>
        <v>1167532.3108508235</v>
      </c>
      <c r="O28" s="57">
        <f ca="1">Demand!Q13</f>
        <v>1168205.2614493622</v>
      </c>
      <c r="P28" s="57">
        <f ca="1">Demand!R13</f>
        <v>1167653.8494421635</v>
      </c>
      <c r="Q28" s="57">
        <f ca="1">Demand!S13</f>
        <v>1168087.5479223272</v>
      </c>
      <c r="R28" s="57">
        <f ca="1">Demand!T13</f>
        <v>1168784.3298835196</v>
      </c>
      <c r="S28" s="57">
        <f ca="1">Demand!U13</f>
        <v>1169586.6063701243</v>
      </c>
      <c r="T28" s="57">
        <f ca="1">Demand!V13</f>
        <v>1168707.5169486266</v>
      </c>
      <c r="U28" s="57">
        <f ca="1">Demand!W13</f>
        <v>1168763.6936360986</v>
      </c>
      <c r="V28" s="57">
        <f ca="1">Demand!X13</f>
        <v>1169321.2911954892</v>
      </c>
      <c r="W28" s="57">
        <f ca="1">Demand!Y13</f>
        <v>1168548.6678384221</v>
      </c>
      <c r="X28" s="57">
        <f ca="1">Demand!Z13</f>
        <v>1168789.8486520501</v>
      </c>
      <c r="Y28" s="57">
        <f ca="1">Demand!AB13</f>
        <v>1168759.7035965445</v>
      </c>
      <c r="Z28" s="57">
        <f ca="1">Demand!AC13</f>
        <v>1169159.3016845628</v>
      </c>
      <c r="AA28" s="57">
        <f ca="1">Demand!AD13</f>
        <v>1169656.3243846095</v>
      </c>
      <c r="AB28" s="57">
        <f ca="1">Demand!AE13</f>
        <v>1169882.7379593041</v>
      </c>
      <c r="AC28" s="57">
        <f ca="1">Demand!AF13</f>
        <v>1170437.5426555711</v>
      </c>
      <c r="AD28" s="57">
        <f ca="1">Demand!AG13</f>
        <v>1170985.3021298654</v>
      </c>
      <c r="AE28" s="57">
        <f ca="1">Demand!AH13</f>
        <v>1170862.9296757223</v>
      </c>
      <c r="AF28" s="57">
        <f ca="1">Demand!AI13</f>
        <v>1170576.3914215898</v>
      </c>
      <c r="AG28" s="57">
        <f ca="1">Demand!AJ13</f>
        <v>1170265.1521430151</v>
      </c>
      <c r="AH28" s="57">
        <f ca="1">Demand!AK13</f>
        <v>1170703.8306610105</v>
      </c>
      <c r="AI28" s="57">
        <f ca="1">Demand!AL13</f>
        <v>1170186.5488137971</v>
      </c>
      <c r="AJ28" s="57">
        <f ca="1">Demand!AM13</f>
        <v>1170168.6053679844</v>
      </c>
      <c r="AK28" s="57">
        <f ca="1">Demand!AO13</f>
        <v>1169948.5733433831</v>
      </c>
      <c r="AL28" s="57">
        <f ca="1">Demand!AP13</f>
        <v>1169843.7820353145</v>
      </c>
      <c r="AM28" s="57">
        <f ca="1">Demand!AQ13</f>
        <v>1169831.0250041464</v>
      </c>
      <c r="AN28" s="57">
        <f ca="1">Demand!AR13</f>
        <v>1169271.9661562641</v>
      </c>
      <c r="AO28" s="57">
        <f ca="1">Demand!AS13</f>
        <v>1169437.8200629244</v>
      </c>
      <c r="AP28" s="57">
        <f ca="1">Demand!AT13</f>
        <v>1169287.4825191232</v>
      </c>
      <c r="AQ28" s="57">
        <f ca="1">Demand!AU13</f>
        <v>1169507.2369950474</v>
      </c>
      <c r="AR28" s="57">
        <f ca="1">Demand!AV13</f>
        <v>1169790.790640793</v>
      </c>
      <c r="AS28" s="57">
        <f ca="1">Demand!AW13</f>
        <v>1169866.5050204701</v>
      </c>
      <c r="AT28" s="57">
        <f ca="1">Demand!AX13</f>
        <v>1170555.3265217992</v>
      </c>
      <c r="AU28" s="57">
        <f ca="1">Demand!AY13</f>
        <v>1170102.2937391552</v>
      </c>
      <c r="AV28" s="57">
        <f ca="1">Demand!AZ13</f>
        <v>1169573.9030070663</v>
      </c>
      <c r="AW28" s="57">
        <f ca="1">Demand!BB13</f>
        <v>1170221.4047077689</v>
      </c>
      <c r="AX28" s="57">
        <f ca="1">Demand!BC13</f>
        <v>1170916.2446308702</v>
      </c>
      <c r="AY28" s="57">
        <f ca="1">Demand!BD13</f>
        <v>1170483.9091769389</v>
      </c>
      <c r="AZ28" s="57">
        <f ca="1">Demand!BE13</f>
        <v>1170067.1335033595</v>
      </c>
      <c r="BA28" s="57">
        <f ca="1">Demand!BF13</f>
        <v>1170204.4301333483</v>
      </c>
      <c r="BB28" s="57">
        <f ca="1">Demand!BG13</f>
        <v>1169623.9408092413</v>
      </c>
      <c r="BC28" s="57">
        <f ca="1">Demand!BH13</f>
        <v>1169303.7519018091</v>
      </c>
      <c r="BD28" s="57">
        <f ca="1">Demand!BI13</f>
        <v>1169236.1564098564</v>
      </c>
      <c r="BE28" s="57">
        <f ca="1">Demand!BJ13</f>
        <v>1168946.3688551793</v>
      </c>
      <c r="BF28" s="57">
        <f ca="1">Demand!BK13</f>
        <v>1169608.7927574948</v>
      </c>
      <c r="BG28" s="57">
        <f ca="1">Demand!BL13</f>
        <v>1169180.6826214609</v>
      </c>
      <c r="BH28" s="57">
        <f ca="1">Demand!BM13</f>
        <v>1169802.2065933791</v>
      </c>
      <c r="BI28" s="57">
        <f ca="1">Demand!BO13</f>
        <v>1169087.6556857477</v>
      </c>
      <c r="BJ28" s="57">
        <f ca="1">Demand!BP13</f>
        <v>1169533.2937717817</v>
      </c>
      <c r="BK28" s="57">
        <f ca="1">Demand!BQ13</f>
        <v>1170194.5270013458</v>
      </c>
      <c r="BL28" s="57">
        <f ca="1">Demand!BR13</f>
        <v>1170068.0859714614</v>
      </c>
      <c r="BM28" s="57">
        <f ca="1">Demand!BS13</f>
        <v>1169635.3829130901</v>
      </c>
      <c r="BN28" s="57">
        <f ca="1">Demand!BT13</f>
        <v>1170459.862707834</v>
      </c>
      <c r="BO28" s="57">
        <f ca="1">Demand!BU13</f>
        <v>1170008.7203317895</v>
      </c>
      <c r="BP28" s="57">
        <f ca="1">Demand!BV13</f>
        <v>1170484.5923484091</v>
      </c>
      <c r="BQ28" s="57">
        <f ca="1">Demand!BW13</f>
        <v>1170731.1133607323</v>
      </c>
      <c r="BR28" s="57">
        <f ca="1">Demand!BX13</f>
        <v>1171320.2472429688</v>
      </c>
      <c r="BS28" s="57">
        <f ca="1">Demand!BY13</f>
        <v>1171152.8699339412</v>
      </c>
      <c r="BT28" s="57">
        <f ca="1">Demand!BZ13</f>
        <v>1170569.3537184824</v>
      </c>
      <c r="BU28" s="57">
        <f ca="1">Demand!CB13</f>
        <v>1170629.8461291119</v>
      </c>
      <c r="BV28" s="57">
        <f ca="1">Demand!CC13</f>
        <v>1170398.2460133978</v>
      </c>
      <c r="BW28" s="57">
        <f ca="1">Demand!CD13</f>
        <v>1170145.0946333131</v>
      </c>
      <c r="BX28" s="57">
        <f ca="1">Demand!CE13</f>
        <v>1169918.4895616453</v>
      </c>
      <c r="BY28" s="57">
        <f ca="1">Demand!CF13</f>
        <v>1169783.6840923841</v>
      </c>
      <c r="BZ28" s="57">
        <f ca="1">Demand!CG13</f>
        <v>1170116.5339376107</v>
      </c>
      <c r="CA28" s="57">
        <f ca="1">Demand!CH13</f>
        <v>1169817.0914406874</v>
      </c>
      <c r="CB28" s="57">
        <f ca="1">Demand!CI13</f>
        <v>1169372.1697971558</v>
      </c>
      <c r="CC28" s="57">
        <f ca="1">Demand!CJ13</f>
        <v>1168895.4320766912</v>
      </c>
      <c r="CD28" s="57">
        <f ca="1">Demand!CK13</f>
        <v>1168832.9391138328</v>
      </c>
      <c r="CE28" s="57">
        <f ca="1">Demand!CL13</f>
        <v>1168323.9367724587</v>
      </c>
      <c r="CF28" s="57">
        <f ca="1">Demand!CM13</f>
        <v>1168702.9301884181</v>
      </c>
      <c r="CG28" s="57">
        <f ca="1">Demand!CO13</f>
        <v>1168894.2357141133</v>
      </c>
      <c r="CH28" s="57">
        <f ca="1">Demand!CP13</f>
        <v>1168288.2107494508</v>
      </c>
      <c r="CI28" s="57">
        <f ca="1">Demand!CQ13</f>
        <v>1167622.8138318842</v>
      </c>
      <c r="CJ28" s="57">
        <f ca="1">Demand!CR13</f>
        <v>1167241.3597485137</v>
      </c>
      <c r="CK28" s="57">
        <f ca="1">Demand!CS13</f>
        <v>1167030.7103075436</v>
      </c>
      <c r="CL28" s="57">
        <f ca="1">Demand!CT13</f>
        <v>1166765.5353488808</v>
      </c>
      <c r="CM28" s="57">
        <f ca="1">Demand!CU13</f>
        <v>1166734.6538658673</v>
      </c>
      <c r="CN28" s="57">
        <f ca="1">Demand!CV13</f>
        <v>1167142.4005837406</v>
      </c>
      <c r="CO28" s="57">
        <f ca="1">Demand!CW13</f>
        <v>1167380.8316067157</v>
      </c>
      <c r="CP28" s="57">
        <f ca="1">Demand!CX13</f>
        <v>1167684.0831672407</v>
      </c>
      <c r="CQ28" s="57">
        <f ca="1">Demand!CY13</f>
        <v>1167458.0612203688</v>
      </c>
      <c r="CR28" s="57">
        <f ca="1">Demand!CZ13</f>
        <v>1167466.4439445576</v>
      </c>
      <c r="CS28" s="57">
        <f ca="1">Demand!DB13</f>
        <v>1167954.6062186139</v>
      </c>
      <c r="CT28" s="57">
        <f ca="1">Demand!DC13</f>
        <v>1168145.4543729892</v>
      </c>
      <c r="CU28" s="57">
        <f ca="1">Demand!DD13</f>
        <v>1168311.9919774304</v>
      </c>
      <c r="CV28" s="57">
        <f ca="1">Demand!DE13</f>
        <v>1167604.6270863842</v>
      </c>
      <c r="CW28" s="57">
        <f ca="1">Demand!DF13</f>
        <v>1166977.187475716</v>
      </c>
      <c r="CX28" s="57">
        <f ca="1">Demand!DG13</f>
        <v>1166790.9811390708</v>
      </c>
      <c r="CY28" s="57">
        <f ca="1">Demand!DH13</f>
        <v>1166924.9856138476</v>
      </c>
      <c r="CZ28" s="57">
        <f ca="1">Demand!DI13</f>
        <v>1166490.993024057</v>
      </c>
      <c r="DA28" s="57">
        <f ca="1">Demand!DJ13</f>
        <v>1166081.3400285691</v>
      </c>
      <c r="DB28" s="57">
        <f ca="1">Demand!DK13</f>
        <v>1166214.9390071013</v>
      </c>
      <c r="DC28" s="57">
        <f ca="1">Demand!DL13</f>
        <v>1166307.4252907319</v>
      </c>
      <c r="DD28" s="57">
        <f ca="1">Demand!DM13</f>
        <v>1166661.5604016671</v>
      </c>
      <c r="DE28" s="57">
        <f ca="1">Demand!DO13</f>
        <v>1165821.9215500958</v>
      </c>
      <c r="DF28" s="57">
        <f ca="1">Demand!DP13</f>
        <v>1166044.6945179957</v>
      </c>
      <c r="DG28" s="57">
        <f ca="1">Demand!DQ13</f>
        <v>1165776.225888435</v>
      </c>
      <c r="DH28" s="57">
        <f ca="1">Demand!DR13</f>
        <v>1165304.281711614</v>
      </c>
      <c r="DI28" s="57">
        <f ca="1">Demand!DS13</f>
        <v>1165691.0603212737</v>
      </c>
      <c r="DJ28" s="57">
        <f ca="1">Demand!DT13</f>
        <v>1165664.438809721</v>
      </c>
      <c r="DK28" s="57">
        <f ca="1">Demand!DU13</f>
        <v>1165108.1406874438</v>
      </c>
      <c r="DL28" s="57">
        <f ca="1">Demand!DV13</f>
        <v>1165717.3580389316</v>
      </c>
      <c r="DM28" s="57">
        <f ca="1">Demand!DW13</f>
        <v>1165976.172003743</v>
      </c>
      <c r="DN28" s="57">
        <f ca="1">Demand!DX13</f>
        <v>1165381.1117974664</v>
      </c>
      <c r="DO28" s="57">
        <f ca="1">Demand!DY13</f>
        <v>1165594.0753314025</v>
      </c>
      <c r="DP28" s="57">
        <f ca="1">Demand!DZ13</f>
        <v>1165689.0945864187</v>
      </c>
      <c r="DQ28" s="57">
        <f ca="1">Demand!EB13</f>
        <v>1166190.5313476883</v>
      </c>
      <c r="DR28" s="57">
        <f ca="1">Demand!EC13</f>
        <v>1165565.832665001</v>
      </c>
      <c r="DS28" s="57">
        <f ca="1">Demand!ED13</f>
        <v>1165006.6442251003</v>
      </c>
      <c r="DT28" s="57">
        <f ca="1">Demand!EE13</f>
        <v>1165207.748792534</v>
      </c>
      <c r="DU28" s="57">
        <f ca="1">Demand!EF13</f>
        <v>1164702.2954291278</v>
      </c>
      <c r="DV28" s="57">
        <f ca="1">Demand!EG13</f>
        <v>1165331.681759553</v>
      </c>
      <c r="DW28" s="57">
        <f ca="1">Demand!EH13</f>
        <v>1165131.5512522818</v>
      </c>
      <c r="DX28" s="57">
        <f ca="1">Demand!EI13</f>
        <v>1164366.0731424135</v>
      </c>
      <c r="DY28" s="57">
        <f ca="1">Demand!EJ13</f>
        <v>1164551.3630905563</v>
      </c>
      <c r="DZ28" s="57">
        <f ca="1">Demand!EK13</f>
        <v>1163815.9244521502</v>
      </c>
      <c r="EA28" s="57">
        <f ca="1">Demand!EL13</f>
        <v>1164335.7090743722</v>
      </c>
      <c r="EB28" s="57">
        <f ca="1">Demand!EM13</f>
        <v>1164187.6831608105</v>
      </c>
    </row>
    <row r="29" spans="1:132" ht="12.75" customHeight="1" x14ac:dyDescent="0.2">
      <c r="A29" s="4" t="str">
        <f>'(Intermediate Computations)'!B65</f>
        <v>MMM 2010</v>
      </c>
      <c r="B29" s="4" t="str">
        <f>'(Intermediate Computations)'!C65</f>
        <v>MMM 2010</v>
      </c>
      <c r="C29" s="4" t="str">
        <f>'(Intermediate Computations)'!D65</f>
        <v>MMM 2010</v>
      </c>
      <c r="D29" s="4" t="str">
        <f>'(Intermediate Computations)'!E65</f>
        <v>MMM 2010</v>
      </c>
      <c r="E29" s="4" t="str">
        <f>'(Intermediate Computations)'!F65</f>
        <v>MMM 2010</v>
      </c>
      <c r="F29" s="4" t="str">
        <f>'(Intermediate Computations)'!G65</f>
        <v>MMM 2010</v>
      </c>
      <c r="G29" s="4" t="str">
        <f>'(Intermediate Computations)'!H65</f>
        <v>MMM 2010</v>
      </c>
      <c r="H29" s="4" t="str">
        <f>'(Intermediate Computations)'!I65</f>
        <v>MMM 2010</v>
      </c>
      <c r="I29" s="4" t="str">
        <f>'(Intermediate Computations)'!J65</f>
        <v>MMM 2010</v>
      </c>
      <c r="J29" s="4" t="str">
        <f>'(Intermediate Computations)'!K65</f>
        <v>MMM 2010</v>
      </c>
      <c r="K29" s="4" t="str">
        <f>'(Intermediate Computations)'!L65</f>
        <v>MMM 2010</v>
      </c>
      <c r="L29" s="4" t="str">
        <f>'(Intermediate Computations)'!M65</f>
        <v>MMM 2010</v>
      </c>
      <c r="M29" s="4" t="str">
        <f>'(Intermediate Computations)'!O65</f>
        <v>MMM 2011</v>
      </c>
      <c r="N29" s="4" t="str">
        <f>'(Intermediate Computations)'!P65</f>
        <v>MMM 2011</v>
      </c>
      <c r="O29" s="4" t="str">
        <f>'(Intermediate Computations)'!Q65</f>
        <v>MMM 2011</v>
      </c>
      <c r="P29" s="4" t="str">
        <f>'(Intermediate Computations)'!R65</f>
        <v>MMM 2011</v>
      </c>
      <c r="Q29" s="4" t="str">
        <f>'(Intermediate Computations)'!S65</f>
        <v>MMM 2011</v>
      </c>
      <c r="R29" s="4" t="str">
        <f>'(Intermediate Computations)'!T65</f>
        <v>MMM 2011</v>
      </c>
      <c r="S29" s="4" t="str">
        <f>'(Intermediate Computations)'!U65</f>
        <v>MMM 2011</v>
      </c>
      <c r="T29" s="4" t="str">
        <f>'(Intermediate Computations)'!V65</f>
        <v>MMM 2011</v>
      </c>
      <c r="U29" s="4" t="str">
        <f>'(Intermediate Computations)'!W65</f>
        <v>MMM 2011</v>
      </c>
      <c r="V29" s="4" t="str">
        <f>'(Intermediate Computations)'!X65</f>
        <v>MMM 2011</v>
      </c>
      <c r="W29" s="4" t="str">
        <f>'(Intermediate Computations)'!Y65</f>
        <v>MMM 2011</v>
      </c>
      <c r="X29" s="4" t="str">
        <f>'(Intermediate Computations)'!Z65</f>
        <v>MMM 2011</v>
      </c>
      <c r="Y29" s="4" t="str">
        <f>'(Intermediate Computations)'!AB65</f>
        <v>MMM 2012</v>
      </c>
      <c r="Z29" s="4" t="str">
        <f>'(Intermediate Computations)'!AC65</f>
        <v>MMM 2012</v>
      </c>
      <c r="AA29" s="4" t="str">
        <f>'(Intermediate Computations)'!AD65</f>
        <v>MMM 2012</v>
      </c>
      <c r="AB29" s="4" t="str">
        <f>'(Intermediate Computations)'!AE65</f>
        <v>MMM 2012</v>
      </c>
      <c r="AC29" s="4" t="str">
        <f>'(Intermediate Computations)'!AF65</f>
        <v>MMM 2012</v>
      </c>
      <c r="AD29" s="4" t="str">
        <f>'(Intermediate Computations)'!AG65</f>
        <v>MMM 2012</v>
      </c>
      <c r="AE29" s="4" t="str">
        <f>'(Intermediate Computations)'!AH65</f>
        <v>MMM 2012</v>
      </c>
      <c r="AF29" s="4" t="str">
        <f>'(Intermediate Computations)'!AI65</f>
        <v>MMM 2012</v>
      </c>
      <c r="AG29" s="4" t="str">
        <f>'(Intermediate Computations)'!AJ65</f>
        <v>MMM 2012</v>
      </c>
      <c r="AH29" s="4" t="str">
        <f>'(Intermediate Computations)'!AK65</f>
        <v>MMM 2012</v>
      </c>
      <c r="AI29" s="4" t="str">
        <f>'(Intermediate Computations)'!AL65</f>
        <v>MMM 2012</v>
      </c>
      <c r="AJ29" s="4" t="str">
        <f>'(Intermediate Computations)'!AM65</f>
        <v>MMM 2012</v>
      </c>
      <c r="AK29" s="4" t="str">
        <f>'(Intermediate Computations)'!AO65</f>
        <v>MMM 2013</v>
      </c>
      <c r="AL29" s="4" t="str">
        <f>'(Intermediate Computations)'!AP65</f>
        <v>MMM 2013</v>
      </c>
      <c r="AM29" s="4" t="str">
        <f>'(Intermediate Computations)'!AQ65</f>
        <v>MMM 2013</v>
      </c>
      <c r="AN29" s="4" t="str">
        <f>'(Intermediate Computations)'!AR65</f>
        <v>MMM 2013</v>
      </c>
      <c r="AO29" s="4" t="str">
        <f>'(Intermediate Computations)'!AS65</f>
        <v>MMM 2013</v>
      </c>
      <c r="AP29" s="4" t="str">
        <f>'(Intermediate Computations)'!AT65</f>
        <v>MMM 2013</v>
      </c>
      <c r="AQ29" s="4" t="str">
        <f>'(Intermediate Computations)'!AU65</f>
        <v>MMM 2013</v>
      </c>
      <c r="AR29" s="4" t="str">
        <f>'(Intermediate Computations)'!AV65</f>
        <v>MMM 2013</v>
      </c>
      <c r="AS29" s="4" t="str">
        <f>'(Intermediate Computations)'!AW65</f>
        <v>MMM 2013</v>
      </c>
      <c r="AT29" s="4" t="str">
        <f>'(Intermediate Computations)'!AX65</f>
        <v>MMM 2013</v>
      </c>
      <c r="AU29" s="4" t="str">
        <f>'(Intermediate Computations)'!AY65</f>
        <v>MMM 2013</v>
      </c>
      <c r="AV29" s="4" t="str">
        <f>'(Intermediate Computations)'!AZ65</f>
        <v>MMM 2013</v>
      </c>
      <c r="AW29" s="4" t="str">
        <f>'(Intermediate Computations)'!BB65</f>
        <v>MMM 2014</v>
      </c>
      <c r="AX29" s="4" t="str">
        <f>'(Intermediate Computations)'!BC65</f>
        <v>MMM 2014</v>
      </c>
      <c r="AY29" s="4" t="str">
        <f>'(Intermediate Computations)'!BD65</f>
        <v>MMM 2014</v>
      </c>
      <c r="AZ29" s="4" t="str">
        <f>'(Intermediate Computations)'!BE65</f>
        <v>MMM 2014</v>
      </c>
      <c r="BA29" s="4" t="str">
        <f>'(Intermediate Computations)'!BF65</f>
        <v>MMM 2014</v>
      </c>
      <c r="BB29" s="4" t="str">
        <f>'(Intermediate Computations)'!BG65</f>
        <v>MMM 2014</v>
      </c>
      <c r="BC29" s="4" t="str">
        <f>'(Intermediate Computations)'!BH65</f>
        <v>MMM 2014</v>
      </c>
      <c r="BD29" s="4" t="str">
        <f>'(Intermediate Computations)'!BI65</f>
        <v>MMM 2014</v>
      </c>
      <c r="BE29" s="4" t="str">
        <f>'(Intermediate Computations)'!BJ65</f>
        <v>MMM 2014</v>
      </c>
      <c r="BF29" s="4" t="str">
        <f>'(Intermediate Computations)'!BK65</f>
        <v>MMM 2014</v>
      </c>
      <c r="BG29" s="4" t="str">
        <f>'(Intermediate Computations)'!BL65</f>
        <v>MMM 2014</v>
      </c>
      <c r="BH29" s="4" t="str">
        <f>'(Intermediate Computations)'!BM65</f>
        <v>MMM 2014</v>
      </c>
      <c r="BI29" s="4" t="str">
        <f>'(Intermediate Computations)'!BO65</f>
        <v>MMM 2015</v>
      </c>
      <c r="BJ29" s="4" t="str">
        <f>'(Intermediate Computations)'!BP65</f>
        <v>MMM 2015</v>
      </c>
      <c r="BK29" s="4" t="str">
        <f>'(Intermediate Computations)'!BQ65</f>
        <v>MMM 2015</v>
      </c>
      <c r="BL29" s="4" t="str">
        <f>'(Intermediate Computations)'!BR65</f>
        <v>MMM 2015</v>
      </c>
      <c r="BM29" s="4" t="str">
        <f>'(Intermediate Computations)'!BS65</f>
        <v>MMM 2015</v>
      </c>
      <c r="BN29" s="4" t="str">
        <f>'(Intermediate Computations)'!BT65</f>
        <v>MMM 2015</v>
      </c>
      <c r="BO29" s="4" t="str">
        <f>'(Intermediate Computations)'!BU65</f>
        <v>MMM 2015</v>
      </c>
      <c r="BP29" s="4" t="str">
        <f>'(Intermediate Computations)'!BV65</f>
        <v>MMM 2015</v>
      </c>
      <c r="BQ29" s="4" t="str">
        <f>'(Intermediate Computations)'!BW65</f>
        <v>MMM 2015</v>
      </c>
      <c r="BR29" s="4" t="str">
        <f>'(Intermediate Computations)'!BX65</f>
        <v>MMM 2015</v>
      </c>
      <c r="BS29" s="4" t="str">
        <f>'(Intermediate Computations)'!BY65</f>
        <v>MMM 2015</v>
      </c>
      <c r="BT29" s="4" t="str">
        <f>'(Intermediate Computations)'!BZ65</f>
        <v>MMM 2015</v>
      </c>
      <c r="BU29" s="4" t="str">
        <f>'(Intermediate Computations)'!CB65</f>
        <v>MMM 2016</v>
      </c>
      <c r="BV29" s="4" t="str">
        <f>'(Intermediate Computations)'!CC65</f>
        <v>MMM 2016</v>
      </c>
      <c r="BW29" s="4" t="str">
        <f>'(Intermediate Computations)'!CD65</f>
        <v>MMM 2016</v>
      </c>
      <c r="BX29" s="4" t="str">
        <f>'(Intermediate Computations)'!CE65</f>
        <v>MMM 2016</v>
      </c>
      <c r="BY29" s="4" t="str">
        <f>'(Intermediate Computations)'!CF65</f>
        <v>MMM 2016</v>
      </c>
      <c r="BZ29" s="4" t="str">
        <f>'(Intermediate Computations)'!CG65</f>
        <v>MMM 2016</v>
      </c>
      <c r="CA29" s="4" t="str">
        <f>'(Intermediate Computations)'!CH65</f>
        <v>MMM 2016</v>
      </c>
      <c r="CB29" s="4" t="str">
        <f>'(Intermediate Computations)'!CI65</f>
        <v>MMM 2016</v>
      </c>
      <c r="CC29" s="4" t="str">
        <f>'(Intermediate Computations)'!CJ65</f>
        <v>MMM 2016</v>
      </c>
      <c r="CD29" s="4" t="str">
        <f>'(Intermediate Computations)'!CK65</f>
        <v>MMM 2016</v>
      </c>
      <c r="CE29" s="4" t="str">
        <f>'(Intermediate Computations)'!CL65</f>
        <v>MMM 2016</v>
      </c>
      <c r="CF29" s="4" t="str">
        <f>'(Intermediate Computations)'!CM65</f>
        <v>MMM 2016</v>
      </c>
      <c r="CG29" s="4" t="str">
        <f>'(Intermediate Computations)'!CO65</f>
        <v>MMM 2017</v>
      </c>
      <c r="CH29" s="4" t="str">
        <f>'(Intermediate Computations)'!CP65</f>
        <v>MMM 2017</v>
      </c>
      <c r="CI29" s="4" t="str">
        <f>'(Intermediate Computations)'!CQ65</f>
        <v>MMM 2017</v>
      </c>
      <c r="CJ29" s="4" t="str">
        <f>'(Intermediate Computations)'!CR65</f>
        <v>MMM 2017</v>
      </c>
      <c r="CK29" s="4" t="str">
        <f>'(Intermediate Computations)'!CS65</f>
        <v>MMM 2017</v>
      </c>
      <c r="CL29" s="4" t="str">
        <f>'(Intermediate Computations)'!CT65</f>
        <v>MMM 2017</v>
      </c>
      <c r="CM29" s="4" t="str">
        <f>'(Intermediate Computations)'!CU65</f>
        <v>MMM 2017</v>
      </c>
      <c r="CN29" s="4" t="str">
        <f>'(Intermediate Computations)'!CV65</f>
        <v>MMM 2017</v>
      </c>
      <c r="CO29" s="4" t="str">
        <f>'(Intermediate Computations)'!CW65</f>
        <v>MMM 2017</v>
      </c>
      <c r="CP29" s="4" t="str">
        <f>'(Intermediate Computations)'!CX65</f>
        <v>MMM 2017</v>
      </c>
      <c r="CQ29" s="4" t="str">
        <f>'(Intermediate Computations)'!CY65</f>
        <v>MMM 2017</v>
      </c>
      <c r="CR29" s="4" t="str">
        <f>'(Intermediate Computations)'!CZ65</f>
        <v>MMM 2017</v>
      </c>
      <c r="CS29" s="4" t="str">
        <f>'(Intermediate Computations)'!DB65</f>
        <v>MMM 2018</v>
      </c>
      <c r="CT29" s="4" t="str">
        <f>'(Intermediate Computations)'!DC65</f>
        <v>MMM 2018</v>
      </c>
      <c r="CU29" s="4" t="str">
        <f>'(Intermediate Computations)'!DD65</f>
        <v>MMM 2018</v>
      </c>
      <c r="CV29" s="4" t="str">
        <f>'(Intermediate Computations)'!DE65</f>
        <v>MMM 2018</v>
      </c>
      <c r="CW29" s="4" t="str">
        <f>'(Intermediate Computations)'!DF65</f>
        <v>MMM 2018</v>
      </c>
      <c r="CX29" s="4" t="str">
        <f>'(Intermediate Computations)'!DG65</f>
        <v>MMM 2018</v>
      </c>
      <c r="CY29" s="4" t="str">
        <f>'(Intermediate Computations)'!DH65</f>
        <v>MMM 2018</v>
      </c>
      <c r="CZ29" s="4" t="str">
        <f>'(Intermediate Computations)'!DI65</f>
        <v>MMM 2018</v>
      </c>
      <c r="DA29" s="4" t="str">
        <f>'(Intermediate Computations)'!DJ65</f>
        <v>MMM 2018</v>
      </c>
      <c r="DB29" s="4" t="str">
        <f>'(Intermediate Computations)'!DK65</f>
        <v>MMM 2018</v>
      </c>
      <c r="DC29" s="4" t="str">
        <f>'(Intermediate Computations)'!DL65</f>
        <v>MMM 2018</v>
      </c>
      <c r="DD29" s="4" t="str">
        <f>'(Intermediate Computations)'!DM65</f>
        <v>MMM 2018</v>
      </c>
      <c r="DE29" s="4" t="str">
        <f>'(Intermediate Computations)'!DO65</f>
        <v>MMM 2019</v>
      </c>
      <c r="DF29" s="4" t="str">
        <f>'(Intermediate Computations)'!DP65</f>
        <v>MMM 2019</v>
      </c>
      <c r="DG29" s="4" t="str">
        <f>'(Intermediate Computations)'!DQ65</f>
        <v>MMM 2019</v>
      </c>
      <c r="DH29" s="4" t="str">
        <f>'(Intermediate Computations)'!DR65</f>
        <v>MMM 2019</v>
      </c>
      <c r="DI29" s="4" t="str">
        <f>'(Intermediate Computations)'!DS65</f>
        <v>MMM 2019</v>
      </c>
      <c r="DJ29" s="4" t="str">
        <f>'(Intermediate Computations)'!DT65</f>
        <v>MMM 2019</v>
      </c>
      <c r="DK29" s="4" t="str">
        <f>'(Intermediate Computations)'!DU65</f>
        <v>MMM 2019</v>
      </c>
      <c r="DL29" s="4" t="str">
        <f>'(Intermediate Computations)'!DV65</f>
        <v>MMM 2019</v>
      </c>
      <c r="DM29" s="4" t="str">
        <f>'(Intermediate Computations)'!DW65</f>
        <v>MMM 2019</v>
      </c>
      <c r="DN29" s="4" t="str">
        <f>'(Intermediate Computations)'!DX65</f>
        <v>MMM 2019</v>
      </c>
      <c r="DO29" s="4" t="str">
        <f>'(Intermediate Computations)'!DY65</f>
        <v>MMM 2019</v>
      </c>
      <c r="DP29" s="4" t="str">
        <f>'(Intermediate Computations)'!DZ65</f>
        <v>MMM 2019</v>
      </c>
      <c r="DQ29" s="4" t="str">
        <f>'(Intermediate Computations)'!EB65</f>
        <v>MMM 2020</v>
      </c>
      <c r="DR29" s="4" t="str">
        <f>'(Intermediate Computations)'!EC65</f>
        <v>MMM 2020</v>
      </c>
      <c r="DS29" s="4" t="str">
        <f>'(Intermediate Computations)'!ED65</f>
        <v>MMM 2020</v>
      </c>
      <c r="DT29" s="4" t="str">
        <f>'(Intermediate Computations)'!EE65</f>
        <v>MMM 2020</v>
      </c>
      <c r="DU29" s="4" t="str">
        <f>'(Intermediate Computations)'!EF65</f>
        <v>MMM 2020</v>
      </c>
      <c r="DV29" s="4" t="str">
        <f>'(Intermediate Computations)'!EG65</f>
        <v>MMM 2020</v>
      </c>
      <c r="DW29" s="4" t="str">
        <f>'(Intermediate Computations)'!EH65</f>
        <v>MMM 2020</v>
      </c>
      <c r="DX29" s="4" t="str">
        <f>'(Intermediate Computations)'!EI65</f>
        <v>MMM 2020</v>
      </c>
      <c r="DY29" s="4" t="str">
        <f>'(Intermediate Computations)'!EJ65</f>
        <v>MMM 2020</v>
      </c>
      <c r="DZ29" s="4" t="str">
        <f>'(Intermediate Computations)'!EK65</f>
        <v>MMM 2020</v>
      </c>
      <c r="EA29" s="4" t="str">
        <f>'(Intermediate Computations)'!EL65</f>
        <v>MMM 2020</v>
      </c>
      <c r="EB29" s="4" t="str">
        <f>'(Intermediate Computations)'!EM65</f>
        <v>MMM 2020</v>
      </c>
    </row>
    <row r="30" spans="1:132" ht="12.75" customHeight="1" x14ac:dyDescent="0.2">
      <c r="A30" s="4">
        <f>'(Intermediate Computations)'!B62</f>
        <v>40179</v>
      </c>
      <c r="B30" s="4">
        <f>'(Intermediate Computations)'!C62</f>
        <v>40210</v>
      </c>
      <c r="C30" s="4">
        <f>'(Intermediate Computations)'!D62</f>
        <v>40238</v>
      </c>
      <c r="D30" s="4">
        <f>'(Intermediate Computations)'!E62</f>
        <v>40269</v>
      </c>
      <c r="E30" s="4">
        <f>'(Intermediate Computations)'!F62</f>
        <v>40299</v>
      </c>
      <c r="F30" s="4">
        <f>'(Intermediate Computations)'!G62</f>
        <v>40330</v>
      </c>
      <c r="G30" s="4">
        <f>'(Intermediate Computations)'!H62</f>
        <v>40360</v>
      </c>
      <c r="H30" s="4">
        <f>'(Intermediate Computations)'!I62</f>
        <v>40391</v>
      </c>
      <c r="I30" s="4">
        <f>'(Intermediate Computations)'!J62</f>
        <v>40422</v>
      </c>
      <c r="J30" s="4">
        <f>'(Intermediate Computations)'!K62</f>
        <v>40452</v>
      </c>
      <c r="K30" s="4">
        <f>'(Intermediate Computations)'!L62</f>
        <v>40483</v>
      </c>
      <c r="L30" s="4">
        <f>'(Intermediate Computations)'!M62</f>
        <v>40513</v>
      </c>
      <c r="M30" s="4">
        <f>'(Intermediate Computations)'!O62</f>
        <v>40544</v>
      </c>
      <c r="N30" s="4">
        <f>'(Intermediate Computations)'!P62</f>
        <v>40575</v>
      </c>
      <c r="O30" s="4">
        <f>'(Intermediate Computations)'!Q62</f>
        <v>40603</v>
      </c>
      <c r="P30" s="4">
        <f>'(Intermediate Computations)'!R62</f>
        <v>40634</v>
      </c>
      <c r="Q30" s="4">
        <f>'(Intermediate Computations)'!S62</f>
        <v>40664</v>
      </c>
      <c r="R30" s="4">
        <f>'(Intermediate Computations)'!T62</f>
        <v>40695</v>
      </c>
      <c r="S30" s="4">
        <f>'(Intermediate Computations)'!U62</f>
        <v>40725</v>
      </c>
      <c r="T30" s="4">
        <f>'(Intermediate Computations)'!V62</f>
        <v>40756</v>
      </c>
      <c r="U30" s="4">
        <f>'(Intermediate Computations)'!W62</f>
        <v>40787</v>
      </c>
      <c r="V30" s="4">
        <f>'(Intermediate Computations)'!X62</f>
        <v>40817</v>
      </c>
      <c r="W30" s="4">
        <f>'(Intermediate Computations)'!Y62</f>
        <v>40848</v>
      </c>
      <c r="X30" s="4">
        <f>'(Intermediate Computations)'!Z62</f>
        <v>40878</v>
      </c>
      <c r="Y30" s="4">
        <f>'(Intermediate Computations)'!AB62</f>
        <v>40909</v>
      </c>
      <c r="Z30" s="4">
        <f>'(Intermediate Computations)'!AC62</f>
        <v>40940</v>
      </c>
      <c r="AA30" s="4">
        <f>'(Intermediate Computations)'!AD62</f>
        <v>40969</v>
      </c>
      <c r="AB30" s="4">
        <f>'(Intermediate Computations)'!AE62</f>
        <v>41000</v>
      </c>
      <c r="AC30" s="4">
        <f>'(Intermediate Computations)'!AF62</f>
        <v>41030</v>
      </c>
      <c r="AD30" s="4">
        <f>'(Intermediate Computations)'!AG62</f>
        <v>41061</v>
      </c>
      <c r="AE30" s="4">
        <f>'(Intermediate Computations)'!AH62</f>
        <v>41091</v>
      </c>
      <c r="AF30" s="4">
        <f>'(Intermediate Computations)'!AI62</f>
        <v>41122</v>
      </c>
      <c r="AG30" s="4">
        <f>'(Intermediate Computations)'!AJ62</f>
        <v>41153</v>
      </c>
      <c r="AH30" s="4">
        <f>'(Intermediate Computations)'!AK62</f>
        <v>41183</v>
      </c>
      <c r="AI30" s="4">
        <f>'(Intermediate Computations)'!AL62</f>
        <v>41214</v>
      </c>
      <c r="AJ30" s="4">
        <f>'(Intermediate Computations)'!AM62</f>
        <v>41244</v>
      </c>
      <c r="AK30" s="4">
        <f>'(Intermediate Computations)'!AO62</f>
        <v>41275</v>
      </c>
      <c r="AL30" s="4">
        <f>'(Intermediate Computations)'!AP62</f>
        <v>41306</v>
      </c>
      <c r="AM30" s="4">
        <f>'(Intermediate Computations)'!AQ62</f>
        <v>41334</v>
      </c>
      <c r="AN30" s="4">
        <f>'(Intermediate Computations)'!AR62</f>
        <v>41365</v>
      </c>
      <c r="AO30" s="4">
        <f>'(Intermediate Computations)'!AS62</f>
        <v>41395</v>
      </c>
      <c r="AP30" s="4">
        <f>'(Intermediate Computations)'!AT62</f>
        <v>41426</v>
      </c>
      <c r="AQ30" s="4">
        <f>'(Intermediate Computations)'!AU62</f>
        <v>41456</v>
      </c>
      <c r="AR30" s="4">
        <f>'(Intermediate Computations)'!AV62</f>
        <v>41487</v>
      </c>
      <c r="AS30" s="4">
        <f>'(Intermediate Computations)'!AW62</f>
        <v>41518</v>
      </c>
      <c r="AT30" s="4">
        <f>'(Intermediate Computations)'!AX62</f>
        <v>41548</v>
      </c>
      <c r="AU30" s="4">
        <f>'(Intermediate Computations)'!AY62</f>
        <v>41579</v>
      </c>
      <c r="AV30" s="4">
        <f>'(Intermediate Computations)'!AZ62</f>
        <v>41609</v>
      </c>
      <c r="AW30" s="4">
        <f>'(Intermediate Computations)'!BB62</f>
        <v>41640</v>
      </c>
      <c r="AX30" s="4">
        <f>'(Intermediate Computations)'!BC62</f>
        <v>41671</v>
      </c>
      <c r="AY30" s="4">
        <f>'(Intermediate Computations)'!BD62</f>
        <v>41699</v>
      </c>
      <c r="AZ30" s="4">
        <f>'(Intermediate Computations)'!BE62</f>
        <v>41730</v>
      </c>
      <c r="BA30" s="4">
        <f>'(Intermediate Computations)'!BF62</f>
        <v>41760</v>
      </c>
      <c r="BB30" s="4">
        <f>'(Intermediate Computations)'!BG62</f>
        <v>41791</v>
      </c>
      <c r="BC30" s="4">
        <f>'(Intermediate Computations)'!BH62</f>
        <v>41821</v>
      </c>
      <c r="BD30" s="4">
        <f>'(Intermediate Computations)'!BI62</f>
        <v>41852</v>
      </c>
      <c r="BE30" s="4">
        <f>'(Intermediate Computations)'!BJ62</f>
        <v>41883</v>
      </c>
      <c r="BF30" s="4">
        <f>'(Intermediate Computations)'!BK62</f>
        <v>41913</v>
      </c>
      <c r="BG30" s="4">
        <f>'(Intermediate Computations)'!BL62</f>
        <v>41944</v>
      </c>
      <c r="BH30" s="4">
        <f>'(Intermediate Computations)'!BM62</f>
        <v>41974</v>
      </c>
      <c r="BI30" s="4">
        <f>'(Intermediate Computations)'!BO62</f>
        <v>42005</v>
      </c>
      <c r="BJ30" s="4">
        <f>'(Intermediate Computations)'!BP62</f>
        <v>42036</v>
      </c>
      <c r="BK30" s="4">
        <f>'(Intermediate Computations)'!BQ62</f>
        <v>42064</v>
      </c>
      <c r="BL30" s="4">
        <f>'(Intermediate Computations)'!BR62</f>
        <v>42095</v>
      </c>
      <c r="BM30" s="4">
        <f>'(Intermediate Computations)'!BS62</f>
        <v>42125</v>
      </c>
      <c r="BN30" s="4">
        <f>'(Intermediate Computations)'!BT62</f>
        <v>42156</v>
      </c>
      <c r="BO30" s="4">
        <f>'(Intermediate Computations)'!BU62</f>
        <v>42186</v>
      </c>
      <c r="BP30" s="4">
        <f>'(Intermediate Computations)'!BV62</f>
        <v>42217</v>
      </c>
      <c r="BQ30" s="4">
        <f>'(Intermediate Computations)'!BW62</f>
        <v>42248</v>
      </c>
      <c r="BR30" s="4">
        <f>'(Intermediate Computations)'!BX62</f>
        <v>42278</v>
      </c>
      <c r="BS30" s="4">
        <f>'(Intermediate Computations)'!BY62</f>
        <v>42309</v>
      </c>
      <c r="BT30" s="4">
        <f>'(Intermediate Computations)'!BZ62</f>
        <v>42339</v>
      </c>
      <c r="BU30" s="4">
        <f>'(Intermediate Computations)'!CB62</f>
        <v>42370</v>
      </c>
      <c r="BV30" s="4">
        <f>'(Intermediate Computations)'!CC62</f>
        <v>42401</v>
      </c>
      <c r="BW30" s="4">
        <f>'(Intermediate Computations)'!CD62</f>
        <v>42430</v>
      </c>
      <c r="BX30" s="4">
        <f>'(Intermediate Computations)'!CE62</f>
        <v>42461</v>
      </c>
      <c r="BY30" s="4">
        <f>'(Intermediate Computations)'!CF62</f>
        <v>42491</v>
      </c>
      <c r="BZ30" s="4">
        <f>'(Intermediate Computations)'!CG62</f>
        <v>42522</v>
      </c>
      <c r="CA30" s="4">
        <f>'(Intermediate Computations)'!CH62</f>
        <v>42552</v>
      </c>
      <c r="CB30" s="4">
        <f>'(Intermediate Computations)'!CI62</f>
        <v>42583</v>
      </c>
      <c r="CC30" s="4">
        <f>'(Intermediate Computations)'!CJ62</f>
        <v>42614</v>
      </c>
      <c r="CD30" s="4">
        <f>'(Intermediate Computations)'!CK62</f>
        <v>42644</v>
      </c>
      <c r="CE30" s="4">
        <f>'(Intermediate Computations)'!CL62</f>
        <v>42675</v>
      </c>
      <c r="CF30" s="4">
        <f>'(Intermediate Computations)'!CM62</f>
        <v>42705</v>
      </c>
      <c r="CG30" s="4">
        <f>'(Intermediate Computations)'!CO62</f>
        <v>42736</v>
      </c>
      <c r="CH30" s="4">
        <f>'(Intermediate Computations)'!CP62</f>
        <v>42767</v>
      </c>
      <c r="CI30" s="4">
        <f>'(Intermediate Computations)'!CQ62</f>
        <v>42795</v>
      </c>
      <c r="CJ30" s="4">
        <f>'(Intermediate Computations)'!CR62</f>
        <v>42826</v>
      </c>
      <c r="CK30" s="4">
        <f>'(Intermediate Computations)'!CS62</f>
        <v>42856</v>
      </c>
      <c r="CL30" s="4">
        <f>'(Intermediate Computations)'!CT62</f>
        <v>42887</v>
      </c>
      <c r="CM30" s="4">
        <f>'(Intermediate Computations)'!CU62</f>
        <v>42917</v>
      </c>
      <c r="CN30" s="4">
        <f>'(Intermediate Computations)'!CV62</f>
        <v>42948</v>
      </c>
      <c r="CO30" s="4">
        <f>'(Intermediate Computations)'!CW62</f>
        <v>42979</v>
      </c>
      <c r="CP30" s="4">
        <f>'(Intermediate Computations)'!CX62</f>
        <v>43009</v>
      </c>
      <c r="CQ30" s="4">
        <f>'(Intermediate Computations)'!CY62</f>
        <v>43040</v>
      </c>
      <c r="CR30" s="4">
        <f>'(Intermediate Computations)'!CZ62</f>
        <v>43070</v>
      </c>
      <c r="CS30" s="4">
        <f>'(Intermediate Computations)'!DB62</f>
        <v>43101</v>
      </c>
      <c r="CT30" s="4">
        <f>'(Intermediate Computations)'!DC62</f>
        <v>43132</v>
      </c>
      <c r="CU30" s="4">
        <f>'(Intermediate Computations)'!DD62</f>
        <v>43160</v>
      </c>
      <c r="CV30" s="4">
        <f>'(Intermediate Computations)'!DE62</f>
        <v>43191</v>
      </c>
      <c r="CW30" s="4">
        <f>'(Intermediate Computations)'!DF62</f>
        <v>43221</v>
      </c>
      <c r="CX30" s="4">
        <f>'(Intermediate Computations)'!DG62</f>
        <v>43252</v>
      </c>
      <c r="CY30" s="4">
        <f>'(Intermediate Computations)'!DH62</f>
        <v>43282</v>
      </c>
      <c r="CZ30" s="4">
        <f>'(Intermediate Computations)'!DI62</f>
        <v>43313</v>
      </c>
      <c r="DA30" s="4">
        <f>'(Intermediate Computations)'!DJ62</f>
        <v>43344</v>
      </c>
      <c r="DB30" s="4">
        <f>'(Intermediate Computations)'!DK62</f>
        <v>43374</v>
      </c>
      <c r="DC30" s="4">
        <f>'(Intermediate Computations)'!DL62</f>
        <v>43405</v>
      </c>
      <c r="DD30" s="4">
        <f>'(Intermediate Computations)'!DM62</f>
        <v>43435</v>
      </c>
      <c r="DE30" s="4">
        <f>'(Intermediate Computations)'!DO62</f>
        <v>43466</v>
      </c>
      <c r="DF30" s="4">
        <f>'(Intermediate Computations)'!DP62</f>
        <v>43497</v>
      </c>
      <c r="DG30" s="4">
        <f>'(Intermediate Computations)'!DQ62</f>
        <v>43525</v>
      </c>
      <c r="DH30" s="4">
        <f>'(Intermediate Computations)'!DR62</f>
        <v>43556</v>
      </c>
      <c r="DI30" s="4">
        <f>'(Intermediate Computations)'!DS62</f>
        <v>43586</v>
      </c>
      <c r="DJ30" s="4">
        <f>'(Intermediate Computations)'!DT62</f>
        <v>43617</v>
      </c>
      <c r="DK30" s="4">
        <f>'(Intermediate Computations)'!DU62</f>
        <v>43647</v>
      </c>
      <c r="DL30" s="4">
        <f>'(Intermediate Computations)'!DV62</f>
        <v>43678</v>
      </c>
      <c r="DM30" s="4">
        <f>'(Intermediate Computations)'!DW62</f>
        <v>43709</v>
      </c>
      <c r="DN30" s="4">
        <f>'(Intermediate Computations)'!DX62</f>
        <v>43739</v>
      </c>
      <c r="DO30" s="4">
        <f>'(Intermediate Computations)'!DY62</f>
        <v>43770</v>
      </c>
      <c r="DP30" s="4">
        <f>'(Intermediate Computations)'!DZ62</f>
        <v>43800</v>
      </c>
      <c r="DQ30" s="4">
        <f>'(Intermediate Computations)'!EB62</f>
        <v>43831</v>
      </c>
      <c r="DR30" s="4">
        <f>'(Intermediate Computations)'!EC62</f>
        <v>43862</v>
      </c>
      <c r="DS30" s="4">
        <f>'(Intermediate Computations)'!ED62</f>
        <v>43891</v>
      </c>
      <c r="DT30" s="4">
        <f>'(Intermediate Computations)'!EE62</f>
        <v>43922</v>
      </c>
      <c r="DU30" s="4">
        <f>'(Intermediate Computations)'!EF62</f>
        <v>43952</v>
      </c>
      <c r="DV30" s="4">
        <f>'(Intermediate Computations)'!EG62</f>
        <v>43983</v>
      </c>
      <c r="DW30" s="4">
        <f>'(Intermediate Computations)'!EH62</f>
        <v>44013</v>
      </c>
      <c r="DX30" s="4">
        <f>'(Intermediate Computations)'!EI62</f>
        <v>44044</v>
      </c>
      <c r="DY30" s="4">
        <f>'(Intermediate Computations)'!EJ62</f>
        <v>44075</v>
      </c>
      <c r="DZ30" s="4">
        <f>'(Intermediate Computations)'!EK62</f>
        <v>44105</v>
      </c>
      <c r="EA30" s="4">
        <f>'(Intermediate Computations)'!EL62</f>
        <v>44136</v>
      </c>
      <c r="EB30" s="4">
        <f>'(Intermediate Computations)'!EM62</f>
        <v>44166</v>
      </c>
    </row>
    <row r="31" spans="1:132" ht="12.75" customHeight="1" x14ac:dyDescent="0.2">
      <c r="A31" s="57">
        <f>Capital!B7</f>
        <v>34645298.421926454</v>
      </c>
      <c r="B31" s="57">
        <f>Capital!C7</f>
        <v>34645298.421926454</v>
      </c>
      <c r="C31" s="57">
        <f ca="1">Capital!D7</f>
        <v>34645293.701624259</v>
      </c>
      <c r="D31" s="57">
        <f ca="1">Capital!E7</f>
        <v>34645229.509860635</v>
      </c>
      <c r="E31" s="57">
        <f ca="1">Capital!F7</f>
        <v>34645258.690705091</v>
      </c>
      <c r="F31" s="57">
        <f ca="1">Capital!G7</f>
        <v>34645395.495520256</v>
      </c>
      <c r="G31" s="57">
        <f ca="1">Capital!H7</f>
        <v>34645425.764000252</v>
      </c>
      <c r="H31" s="57">
        <f ca="1">Capital!I7</f>
        <v>34645467.531947322</v>
      </c>
      <c r="I31" s="57">
        <f ca="1">Capital!J7</f>
        <v>34645489.643281236</v>
      </c>
      <c r="J31" s="57">
        <f ca="1">Capital!K7</f>
        <v>34645527.838849798</v>
      </c>
      <c r="K31" s="57">
        <f ca="1">Capital!L7</f>
        <v>34645609.87347617</v>
      </c>
      <c r="L31" s="57">
        <f ca="1">Capital!M7</f>
        <v>34645700.018653966</v>
      </c>
      <c r="M31" s="57">
        <f ca="1">Capital!O7</f>
        <v>34645815.784996986</v>
      </c>
      <c r="N31" s="57">
        <f ca="1">Capital!P7</f>
        <v>34645961.169686638</v>
      </c>
      <c r="O31" s="57">
        <f ca="1">Capital!Q7</f>
        <v>34646069.742768154</v>
      </c>
      <c r="P31" s="57">
        <f ca="1">Capital!R7</f>
        <v>34646269.177056856</v>
      </c>
      <c r="Q31" s="57">
        <f ca="1">Capital!S7</f>
        <v>34646389.689281203</v>
      </c>
      <c r="R31" s="57">
        <f ca="1">Capital!T7</f>
        <v>34646568.022998892</v>
      </c>
      <c r="S31" s="57">
        <f ca="1">Capital!U7</f>
        <v>34646839.427663818</v>
      </c>
      <c r="T31" s="57">
        <f ca="1">Capital!V7</f>
        <v>34647216.925071411</v>
      </c>
      <c r="U31" s="57">
        <f ca="1">Capital!W7</f>
        <v>34647467.68063888</v>
      </c>
      <c r="V31" s="57">
        <f ca="1">Capital!X7</f>
        <v>34647722.387135409</v>
      </c>
      <c r="W31" s="57">
        <f ca="1">Capital!Y7</f>
        <v>34648049.952825785</v>
      </c>
      <c r="X31" s="57">
        <f ca="1">Capital!Z7</f>
        <v>34648266.352964178</v>
      </c>
      <c r="Y31" s="57">
        <f ca="1">Capital!AB7</f>
        <v>34648512.815610737</v>
      </c>
      <c r="Z31" s="57">
        <f ca="1">Capital!AC7</f>
        <v>34648751.580473028</v>
      </c>
      <c r="AA31" s="57">
        <f ca="1">Capital!AD7</f>
        <v>34649041.887453318</v>
      </c>
      <c r="AB31" s="57">
        <f ca="1">Capital!AE7</f>
        <v>34649396.327247262</v>
      </c>
      <c r="AC31" s="57">
        <f ca="1">Capital!AF7</f>
        <v>34649776.696605906</v>
      </c>
      <c r="AD31" s="57">
        <f ca="1">Capital!AG7</f>
        <v>34650227.772431575</v>
      </c>
      <c r="AE31" s="57">
        <f ca="1">Capital!AH7</f>
        <v>34650747.493317969</v>
      </c>
      <c r="AF31" s="57">
        <f ca="1">Capital!AI7</f>
        <v>34651242.679841906</v>
      </c>
      <c r="AG31" s="57">
        <f ca="1">Capital!AJ7</f>
        <v>34651691.23348736</v>
      </c>
      <c r="AH31" s="57">
        <f ca="1">Capital!AK7</f>
        <v>34652090.582653619</v>
      </c>
      <c r="AI31" s="57">
        <f ca="1">Capital!AL7</f>
        <v>34652544.684594698</v>
      </c>
      <c r="AJ31" s="57">
        <f ca="1">Capital!AM7</f>
        <v>34652921.276904963</v>
      </c>
      <c r="AK31" s="57">
        <f ca="1">Capital!AO7</f>
        <v>34653290.32483463</v>
      </c>
      <c r="AL31" s="57">
        <f ca="1">Capital!AP7</f>
        <v>34653624.213527068</v>
      </c>
      <c r="AM31" s="57">
        <f ca="1">Capital!AQ7</f>
        <v>34653939.40059039</v>
      </c>
      <c r="AN31" s="57">
        <f ca="1">Capital!AR7</f>
        <v>34654248.880236775</v>
      </c>
      <c r="AO31" s="57">
        <f ca="1">Capital!AS7</f>
        <v>34654477.673284039</v>
      </c>
      <c r="AP31" s="57">
        <f ca="1">Capital!AT7</f>
        <v>34654726.782378241</v>
      </c>
      <c r="AQ31" s="57">
        <f ca="1">Capital!AU7</f>
        <v>34654952.427712053</v>
      </c>
      <c r="AR31" s="57">
        <f ca="1">Capital!AV7</f>
        <v>34655205.893036924</v>
      </c>
      <c r="AS31" s="57">
        <f ca="1">Capital!AW7</f>
        <v>34655495.517476723</v>
      </c>
      <c r="AT31" s="57">
        <f ca="1">Capital!AX7</f>
        <v>34655792.164025821</v>
      </c>
      <c r="AU31" s="57">
        <f ca="1">Capital!AY7</f>
        <v>34656180.038112029</v>
      </c>
      <c r="AV31" s="57">
        <f ca="1">Capital!AZ7</f>
        <v>34656500.707006581</v>
      </c>
      <c r="AW31" s="57">
        <f ca="1">Capital!BB7</f>
        <v>34656744.942785993</v>
      </c>
      <c r="AX31" s="57">
        <f ca="1">Capital!BC7</f>
        <v>34657075.67922993</v>
      </c>
      <c r="AY31" s="57">
        <f ca="1">Capital!BD7</f>
        <v>34657498.042107671</v>
      </c>
      <c r="AZ31" s="57">
        <f ca="1">Capital!BE7</f>
        <v>34657855.614062406</v>
      </c>
      <c r="BA31" s="57">
        <f ca="1">Capital!BF7</f>
        <v>34658151.631313786</v>
      </c>
      <c r="BB31" s="57">
        <f ca="1">Capital!BG7</f>
        <v>34658463.301996998</v>
      </c>
      <c r="BC31" s="57">
        <f ca="1">Capital!BH7</f>
        <v>34658691.716011606</v>
      </c>
      <c r="BD31" s="57">
        <f ca="1">Capital!BI7</f>
        <v>34658874.036753975</v>
      </c>
      <c r="BE31" s="57">
        <f ca="1">Capital!BJ7</f>
        <v>34659045.752096131</v>
      </c>
      <c r="BF31" s="57">
        <f ca="1">Capital!BK7</f>
        <v>34659176.493124492</v>
      </c>
      <c r="BG31" s="57">
        <f ca="1">Capital!BL7</f>
        <v>34659397.839792244</v>
      </c>
      <c r="BH31" s="57">
        <f ca="1">Capital!BM7</f>
        <v>34659558.393923983</v>
      </c>
      <c r="BI31" s="57">
        <f ca="1">Capital!BO7</f>
        <v>34659803.458338298</v>
      </c>
      <c r="BJ31" s="57">
        <f ca="1">Capital!BP7</f>
        <v>34659947.980986357</v>
      </c>
      <c r="BK31" s="57">
        <f ca="1">Capital!BQ7</f>
        <v>34660153.111605167</v>
      </c>
      <c r="BL31" s="57">
        <f ca="1">Capital!BR7</f>
        <v>34660447.508290231</v>
      </c>
      <c r="BM31" s="57">
        <f ca="1">Capital!BS7</f>
        <v>34660721.443689652</v>
      </c>
      <c r="BN31" s="57">
        <f ca="1">Capital!BT7</f>
        <v>34660933.167857297</v>
      </c>
      <c r="BO31" s="57">
        <f ca="1">Capital!BU7</f>
        <v>34661256.548232697</v>
      </c>
      <c r="BP31" s="57">
        <f ca="1">Capital!BV7</f>
        <v>34661514.411241755</v>
      </c>
      <c r="BQ31" s="57">
        <f ca="1">Capital!BW7</f>
        <v>34661835.293422304</v>
      </c>
      <c r="BR31" s="57">
        <f ca="1">Capital!BX7</f>
        <v>34662186.658959366</v>
      </c>
      <c r="BS31" s="57">
        <f ca="1">Capital!BY7</f>
        <v>34662615.143497102</v>
      </c>
      <c r="BT31" s="57">
        <f ca="1">Capital!BZ7</f>
        <v>34663015.522486776</v>
      </c>
      <c r="BU31" s="57">
        <f ca="1">Capital!CB7</f>
        <v>34663331.083208956</v>
      </c>
      <c r="BV31" s="57">
        <f ca="1">Capital!CC7</f>
        <v>34663651.777288787</v>
      </c>
      <c r="BW31" s="57">
        <f ca="1">Capital!CD7</f>
        <v>34663937.388194777</v>
      </c>
      <c r="BX31" s="57">
        <f ca="1">Capital!CE7</f>
        <v>34664185.545921177</v>
      </c>
      <c r="BY31" s="57">
        <f ca="1">Capital!CF7</f>
        <v>34664400.525405288</v>
      </c>
      <c r="BZ31" s="57">
        <f ca="1">Capital!CG7</f>
        <v>34664595.497148387</v>
      </c>
      <c r="CA31" s="57">
        <f ca="1">Capital!CH7</f>
        <v>34664835.085886598</v>
      </c>
      <c r="CB31" s="57">
        <f ca="1">Capital!CI7</f>
        <v>34665031.643606275</v>
      </c>
      <c r="CC31" s="57">
        <f ca="1">Capital!CJ7</f>
        <v>34665165.877373822</v>
      </c>
      <c r="CD31" s="57">
        <f ca="1">Capital!CK7</f>
        <v>34665234.426361367</v>
      </c>
      <c r="CE31" s="57">
        <f ca="1">Capital!CL7</f>
        <v>34665295.299175441</v>
      </c>
      <c r="CF31" s="57">
        <f ca="1">Capital!CM7</f>
        <v>34665287.216367267</v>
      </c>
      <c r="CG31" s="57">
        <f ca="1">Capital!CO7</f>
        <v>34665333.360004216</v>
      </c>
      <c r="CH31" s="57">
        <f ca="1">Capital!CP7</f>
        <v>34665407.018882424</v>
      </c>
      <c r="CI31" s="57">
        <f ca="1">Capital!CQ7</f>
        <v>34665398.109254144</v>
      </c>
      <c r="CJ31" s="57">
        <f ca="1">Capital!CR7</f>
        <v>34665299.791365385</v>
      </c>
      <c r="CK31" s="57">
        <f ca="1">Capital!CS7</f>
        <v>34665152.522606701</v>
      </c>
      <c r="CL31" s="57">
        <f ca="1">Capital!CT7</f>
        <v>34664980.53643769</v>
      </c>
      <c r="CM31" s="57">
        <f ca="1">Capital!CU7</f>
        <v>34664776.687670015</v>
      </c>
      <c r="CN31" s="57">
        <f ca="1">Capital!CV7</f>
        <v>34664573.650830537</v>
      </c>
      <c r="CO31" s="57">
        <f ca="1">Capital!CW7</f>
        <v>34664431.658820845</v>
      </c>
      <c r="CP31" s="57">
        <f ca="1">Capital!CX7</f>
        <v>34664326.388527304</v>
      </c>
      <c r="CQ31" s="57">
        <f ca="1">Capital!CY7</f>
        <v>34664266.110918202</v>
      </c>
      <c r="CR31" s="57">
        <f ca="1">Capital!CZ7</f>
        <v>34664177.292631015</v>
      </c>
      <c r="CS31" s="57">
        <f ca="1">Capital!DB7</f>
        <v>34664092.591093026</v>
      </c>
      <c r="CT31" s="57">
        <f ca="1">Capital!DC7</f>
        <v>34664077.864874974</v>
      </c>
      <c r="CU31" s="57">
        <f ca="1">Capital!DD7</f>
        <v>34664091.070667788</v>
      </c>
      <c r="CV31" s="57">
        <f ca="1">Capital!DE7</f>
        <v>34664128.391042218</v>
      </c>
      <c r="CW31" s="57">
        <f ca="1">Capital!DF7</f>
        <v>34664069.272187561</v>
      </c>
      <c r="CX31" s="57">
        <f ca="1">Capital!DG7</f>
        <v>34663926.251358271</v>
      </c>
      <c r="CY31" s="57">
        <f ca="1">Capital!DH7</f>
        <v>34663761.320453927</v>
      </c>
      <c r="CZ31" s="57">
        <f ca="1">Capital!DI7</f>
        <v>34663618.815460049</v>
      </c>
      <c r="DA31" s="57">
        <f ca="1">Capital!DJ7</f>
        <v>34663420.239005342</v>
      </c>
      <c r="DB31" s="57">
        <f ca="1">Capital!DK7</f>
        <v>34663169.805135839</v>
      </c>
      <c r="DC31" s="57">
        <f ca="1">Capital!DL7</f>
        <v>34662942.991937824</v>
      </c>
      <c r="DD31" s="57">
        <f ca="1">Capital!DM7</f>
        <v>34662733.707580857</v>
      </c>
      <c r="DE31" s="57">
        <f ca="1">Capital!DO7</f>
        <v>34662577.587592155</v>
      </c>
      <c r="DF31" s="57">
        <f ca="1">Capital!DP7</f>
        <v>34662309.600135498</v>
      </c>
      <c r="DG31" s="57">
        <f ca="1">Capital!DQ7</f>
        <v>34662077.580175899</v>
      </c>
      <c r="DH31" s="57">
        <f ca="1">Capital!DR7</f>
        <v>34661813.351412065</v>
      </c>
      <c r="DI31" s="57">
        <f ca="1">Capital!DS7</f>
        <v>34661489.411286965</v>
      </c>
      <c r="DJ31" s="57">
        <f ca="1">Capital!DT7</f>
        <v>34661224.730862193</v>
      </c>
      <c r="DK31" s="57">
        <f ca="1">Capital!DU7</f>
        <v>34660961.451424859</v>
      </c>
      <c r="DL31" s="57">
        <f ca="1">Capital!DV7</f>
        <v>34660626.676350117</v>
      </c>
      <c r="DM31" s="57">
        <f ca="1">Capital!DW7</f>
        <v>34660381.748457849</v>
      </c>
      <c r="DN31" s="57">
        <f ca="1">Capital!DX7</f>
        <v>34660176.974889457</v>
      </c>
      <c r="DO31" s="57">
        <f ca="1">Capital!DY7</f>
        <v>34659894.265474156</v>
      </c>
      <c r="DP31" s="57">
        <f ca="1">Capital!DZ7</f>
        <v>34659645.930614099</v>
      </c>
      <c r="DQ31" s="57">
        <f ca="1">Capital!EB7</f>
        <v>34659415.145576283</v>
      </c>
      <c r="DR31" s="57">
        <f ca="1">Capital!EC7</f>
        <v>34659257.454469398</v>
      </c>
      <c r="DS31" s="57">
        <f ca="1">Capital!ED7</f>
        <v>34659016.807408959</v>
      </c>
      <c r="DT31" s="57">
        <f ca="1">Capital!EE7</f>
        <v>34658703.524491355</v>
      </c>
      <c r="DU31" s="57">
        <f ca="1">Capital!EF7</f>
        <v>34658423.265345529</v>
      </c>
      <c r="DV31" s="57">
        <f ca="1">Capital!EG7</f>
        <v>34658078.301813357</v>
      </c>
      <c r="DW31" s="57">
        <f ca="1">Capital!EH7</f>
        <v>34657825.65317893</v>
      </c>
      <c r="DX31" s="57">
        <f ca="1">Capital!EI7</f>
        <v>34657549.722330078</v>
      </c>
      <c r="DY31" s="57">
        <f ca="1">Capital!EJ7</f>
        <v>34657173.119244948</v>
      </c>
      <c r="DZ31" s="57">
        <f ca="1">Capital!EK7</f>
        <v>34656828.142371841</v>
      </c>
      <c r="EA31" s="57">
        <f ca="1">Capital!EL7</f>
        <v>34656387.635013528</v>
      </c>
      <c r="EB31" s="57">
        <f ca="1">Capital!EM7</f>
        <v>34656025.65959876</v>
      </c>
    </row>
    <row r="32" spans="1:132" ht="12.75" customHeight="1" x14ac:dyDescent="0.2">
      <c r="A32" s="4" t="str">
        <f>'(Intermediate Computations)'!B71</f>
        <v>MMM 2010</v>
      </c>
      <c r="B32" s="4" t="str">
        <f>'(Intermediate Computations)'!C71</f>
        <v>MMM 2010</v>
      </c>
      <c r="C32" s="4" t="str">
        <f>'(Intermediate Computations)'!D71</f>
        <v>MMM 2010</v>
      </c>
      <c r="D32" s="4" t="str">
        <f>'(Intermediate Computations)'!E71</f>
        <v>MMM 2010</v>
      </c>
      <c r="E32" s="4" t="str">
        <f>'(Intermediate Computations)'!F71</f>
        <v>MMM 2010</v>
      </c>
      <c r="F32" s="4" t="str">
        <f>'(Intermediate Computations)'!G71</f>
        <v>MMM 2010</v>
      </c>
      <c r="G32" s="4" t="str">
        <f>'(Intermediate Computations)'!H71</f>
        <v>MMM 2010</v>
      </c>
      <c r="H32" s="4" t="str">
        <f>'(Intermediate Computations)'!I71</f>
        <v>MMM 2010</v>
      </c>
      <c r="I32" s="4" t="str">
        <f>'(Intermediate Computations)'!J71</f>
        <v>MMM 2010</v>
      </c>
      <c r="J32" s="4" t="str">
        <f>'(Intermediate Computations)'!K71</f>
        <v>MMM 2010</v>
      </c>
      <c r="K32" s="4" t="str">
        <f>'(Intermediate Computations)'!L71</f>
        <v>MMM 2010</v>
      </c>
      <c r="L32" s="4" t="str">
        <f>'(Intermediate Computations)'!M71</f>
        <v>MMM 2010</v>
      </c>
      <c r="M32" s="4" t="str">
        <f>'(Intermediate Computations)'!O71</f>
        <v>MMM 2011</v>
      </c>
      <c r="N32" s="4" t="str">
        <f>'(Intermediate Computations)'!P71</f>
        <v>MMM 2011</v>
      </c>
      <c r="O32" s="4" t="str">
        <f>'(Intermediate Computations)'!Q71</f>
        <v>MMM 2011</v>
      </c>
      <c r="P32" s="4" t="str">
        <f>'(Intermediate Computations)'!R71</f>
        <v>MMM 2011</v>
      </c>
      <c r="Q32" s="4" t="str">
        <f>'(Intermediate Computations)'!S71</f>
        <v>MMM 2011</v>
      </c>
      <c r="R32" s="4" t="str">
        <f>'(Intermediate Computations)'!T71</f>
        <v>MMM 2011</v>
      </c>
      <c r="S32" s="4" t="str">
        <f>'(Intermediate Computations)'!U71</f>
        <v>MMM 2011</v>
      </c>
      <c r="T32" s="4" t="str">
        <f>'(Intermediate Computations)'!V71</f>
        <v>MMM 2011</v>
      </c>
      <c r="U32" s="4" t="str">
        <f>'(Intermediate Computations)'!W71</f>
        <v>MMM 2011</v>
      </c>
      <c r="V32" s="4" t="str">
        <f>'(Intermediate Computations)'!X71</f>
        <v>MMM 2011</v>
      </c>
      <c r="W32" s="4" t="str">
        <f>'(Intermediate Computations)'!Y71</f>
        <v>MMM 2011</v>
      </c>
      <c r="X32" s="4" t="str">
        <f>'(Intermediate Computations)'!Z71</f>
        <v>MMM 2011</v>
      </c>
      <c r="Y32" s="4" t="str">
        <f>'(Intermediate Computations)'!AB71</f>
        <v>MMM 2012</v>
      </c>
      <c r="Z32" s="4" t="str">
        <f>'(Intermediate Computations)'!AC71</f>
        <v>MMM 2012</v>
      </c>
      <c r="AA32" s="4" t="str">
        <f>'(Intermediate Computations)'!AD71</f>
        <v>MMM 2012</v>
      </c>
      <c r="AB32" s="4" t="str">
        <f>'(Intermediate Computations)'!AE71</f>
        <v>MMM 2012</v>
      </c>
      <c r="AC32" s="4" t="str">
        <f>'(Intermediate Computations)'!AF71</f>
        <v>MMM 2012</v>
      </c>
      <c r="AD32" s="4" t="str">
        <f>'(Intermediate Computations)'!AG71</f>
        <v>MMM 2012</v>
      </c>
      <c r="AE32" s="4" t="str">
        <f>'(Intermediate Computations)'!AH71</f>
        <v>MMM 2012</v>
      </c>
      <c r="AF32" s="4" t="str">
        <f>'(Intermediate Computations)'!AI71</f>
        <v>MMM 2012</v>
      </c>
      <c r="AG32" s="4" t="str">
        <f>'(Intermediate Computations)'!AJ71</f>
        <v>MMM 2012</v>
      </c>
      <c r="AH32" s="4" t="str">
        <f>'(Intermediate Computations)'!AK71</f>
        <v>MMM 2012</v>
      </c>
      <c r="AI32" s="4" t="str">
        <f>'(Intermediate Computations)'!AL71</f>
        <v>MMM 2012</v>
      </c>
      <c r="AJ32" s="4" t="str">
        <f>'(Intermediate Computations)'!AM71</f>
        <v>MMM 2012</v>
      </c>
      <c r="AK32" s="4" t="str">
        <f>'(Intermediate Computations)'!AO71</f>
        <v>MMM 2013</v>
      </c>
      <c r="AL32" s="4" t="str">
        <f>'(Intermediate Computations)'!AP71</f>
        <v>MMM 2013</v>
      </c>
      <c r="AM32" s="4" t="str">
        <f>'(Intermediate Computations)'!AQ71</f>
        <v>MMM 2013</v>
      </c>
      <c r="AN32" s="4" t="str">
        <f>'(Intermediate Computations)'!AR71</f>
        <v>MMM 2013</v>
      </c>
      <c r="AO32" s="4" t="str">
        <f>'(Intermediate Computations)'!AS71</f>
        <v>MMM 2013</v>
      </c>
      <c r="AP32" s="4" t="str">
        <f>'(Intermediate Computations)'!AT71</f>
        <v>MMM 2013</v>
      </c>
      <c r="AQ32" s="4" t="str">
        <f>'(Intermediate Computations)'!AU71</f>
        <v>MMM 2013</v>
      </c>
      <c r="AR32" s="4" t="str">
        <f>'(Intermediate Computations)'!AV71</f>
        <v>MMM 2013</v>
      </c>
      <c r="AS32" s="4" t="str">
        <f>'(Intermediate Computations)'!AW71</f>
        <v>MMM 2013</v>
      </c>
      <c r="AT32" s="4" t="str">
        <f>'(Intermediate Computations)'!AX71</f>
        <v>MMM 2013</v>
      </c>
      <c r="AU32" s="4" t="str">
        <f>'(Intermediate Computations)'!AY71</f>
        <v>MMM 2013</v>
      </c>
      <c r="AV32" s="4" t="str">
        <f>'(Intermediate Computations)'!AZ71</f>
        <v>MMM 2013</v>
      </c>
      <c r="AW32" s="4" t="str">
        <f>'(Intermediate Computations)'!BB71</f>
        <v>MMM 2014</v>
      </c>
      <c r="AX32" s="4" t="str">
        <f>'(Intermediate Computations)'!BC71</f>
        <v>MMM 2014</v>
      </c>
      <c r="AY32" s="4" t="str">
        <f>'(Intermediate Computations)'!BD71</f>
        <v>MMM 2014</v>
      </c>
      <c r="AZ32" s="4" t="str">
        <f>'(Intermediate Computations)'!BE71</f>
        <v>MMM 2014</v>
      </c>
      <c r="BA32" s="4" t="str">
        <f>'(Intermediate Computations)'!BF71</f>
        <v>MMM 2014</v>
      </c>
      <c r="BB32" s="4" t="str">
        <f>'(Intermediate Computations)'!BG71</f>
        <v>MMM 2014</v>
      </c>
      <c r="BC32" s="4" t="str">
        <f>'(Intermediate Computations)'!BH71</f>
        <v>MMM 2014</v>
      </c>
      <c r="BD32" s="4" t="str">
        <f>'(Intermediate Computations)'!BI71</f>
        <v>MMM 2014</v>
      </c>
      <c r="BE32" s="4" t="str">
        <f>'(Intermediate Computations)'!BJ71</f>
        <v>MMM 2014</v>
      </c>
      <c r="BF32" s="4" t="str">
        <f>'(Intermediate Computations)'!BK71</f>
        <v>MMM 2014</v>
      </c>
      <c r="BG32" s="4" t="str">
        <f>'(Intermediate Computations)'!BL71</f>
        <v>MMM 2014</v>
      </c>
      <c r="BH32" s="4" t="str">
        <f>'(Intermediate Computations)'!BM71</f>
        <v>MMM 2014</v>
      </c>
      <c r="BI32" s="4" t="str">
        <f>'(Intermediate Computations)'!BO71</f>
        <v>MMM 2015</v>
      </c>
      <c r="BJ32" s="4" t="str">
        <f>'(Intermediate Computations)'!BP71</f>
        <v>MMM 2015</v>
      </c>
      <c r="BK32" s="4" t="str">
        <f>'(Intermediate Computations)'!BQ71</f>
        <v>MMM 2015</v>
      </c>
      <c r="BL32" s="4" t="str">
        <f>'(Intermediate Computations)'!BR71</f>
        <v>MMM 2015</v>
      </c>
      <c r="BM32" s="4" t="str">
        <f>'(Intermediate Computations)'!BS71</f>
        <v>MMM 2015</v>
      </c>
      <c r="BN32" s="4" t="str">
        <f>'(Intermediate Computations)'!BT71</f>
        <v>MMM 2015</v>
      </c>
      <c r="BO32" s="4" t="str">
        <f>'(Intermediate Computations)'!BU71</f>
        <v>MMM 2015</v>
      </c>
      <c r="BP32" s="4" t="str">
        <f>'(Intermediate Computations)'!BV71</f>
        <v>MMM 2015</v>
      </c>
      <c r="BQ32" s="4" t="str">
        <f>'(Intermediate Computations)'!BW71</f>
        <v>MMM 2015</v>
      </c>
      <c r="BR32" s="4" t="str">
        <f>'(Intermediate Computations)'!BX71</f>
        <v>MMM 2015</v>
      </c>
      <c r="BS32" s="4" t="str">
        <f>'(Intermediate Computations)'!BY71</f>
        <v>MMM 2015</v>
      </c>
      <c r="BT32" s="4" t="str">
        <f>'(Intermediate Computations)'!BZ71</f>
        <v>MMM 2015</v>
      </c>
      <c r="BU32" s="4" t="str">
        <f>'(Intermediate Computations)'!CB71</f>
        <v>MMM 2016</v>
      </c>
      <c r="BV32" s="4" t="str">
        <f>'(Intermediate Computations)'!CC71</f>
        <v>MMM 2016</v>
      </c>
      <c r="BW32" s="4" t="str">
        <f>'(Intermediate Computations)'!CD71</f>
        <v>MMM 2016</v>
      </c>
      <c r="BX32" s="4" t="str">
        <f>'(Intermediate Computations)'!CE71</f>
        <v>MMM 2016</v>
      </c>
      <c r="BY32" s="4" t="str">
        <f>'(Intermediate Computations)'!CF71</f>
        <v>MMM 2016</v>
      </c>
      <c r="BZ32" s="4" t="str">
        <f>'(Intermediate Computations)'!CG71</f>
        <v>MMM 2016</v>
      </c>
      <c r="CA32" s="4" t="str">
        <f>'(Intermediate Computations)'!CH71</f>
        <v>MMM 2016</v>
      </c>
      <c r="CB32" s="4" t="str">
        <f>'(Intermediate Computations)'!CI71</f>
        <v>MMM 2016</v>
      </c>
      <c r="CC32" s="4" t="str">
        <f>'(Intermediate Computations)'!CJ71</f>
        <v>MMM 2016</v>
      </c>
      <c r="CD32" s="4" t="str">
        <f>'(Intermediate Computations)'!CK71</f>
        <v>MMM 2016</v>
      </c>
      <c r="CE32" s="4" t="str">
        <f>'(Intermediate Computations)'!CL71</f>
        <v>MMM 2016</v>
      </c>
      <c r="CF32" s="4" t="str">
        <f>'(Intermediate Computations)'!CM71</f>
        <v>MMM 2016</v>
      </c>
      <c r="CG32" s="4" t="str">
        <f>'(Intermediate Computations)'!CO71</f>
        <v>MMM 2017</v>
      </c>
      <c r="CH32" s="4" t="str">
        <f>'(Intermediate Computations)'!CP71</f>
        <v>MMM 2017</v>
      </c>
      <c r="CI32" s="4" t="str">
        <f>'(Intermediate Computations)'!CQ71</f>
        <v>MMM 2017</v>
      </c>
      <c r="CJ32" s="4" t="str">
        <f>'(Intermediate Computations)'!CR71</f>
        <v>MMM 2017</v>
      </c>
      <c r="CK32" s="4" t="str">
        <f>'(Intermediate Computations)'!CS71</f>
        <v>MMM 2017</v>
      </c>
      <c r="CL32" s="4" t="str">
        <f>'(Intermediate Computations)'!CT71</f>
        <v>MMM 2017</v>
      </c>
      <c r="CM32" s="4" t="str">
        <f>'(Intermediate Computations)'!CU71</f>
        <v>MMM 2017</v>
      </c>
      <c r="CN32" s="4" t="str">
        <f>'(Intermediate Computations)'!CV71</f>
        <v>MMM 2017</v>
      </c>
      <c r="CO32" s="4" t="str">
        <f>'(Intermediate Computations)'!CW71</f>
        <v>MMM 2017</v>
      </c>
      <c r="CP32" s="4" t="str">
        <f>'(Intermediate Computations)'!CX71</f>
        <v>MMM 2017</v>
      </c>
      <c r="CQ32" s="4" t="str">
        <f>'(Intermediate Computations)'!CY71</f>
        <v>MMM 2017</v>
      </c>
      <c r="CR32" s="4" t="str">
        <f>'(Intermediate Computations)'!CZ71</f>
        <v>MMM 2017</v>
      </c>
      <c r="CS32" s="4" t="str">
        <f>'(Intermediate Computations)'!DB71</f>
        <v>MMM 2018</v>
      </c>
      <c r="CT32" s="4" t="str">
        <f>'(Intermediate Computations)'!DC71</f>
        <v>MMM 2018</v>
      </c>
      <c r="CU32" s="4" t="str">
        <f>'(Intermediate Computations)'!DD71</f>
        <v>MMM 2018</v>
      </c>
      <c r="CV32" s="4" t="str">
        <f>'(Intermediate Computations)'!DE71</f>
        <v>MMM 2018</v>
      </c>
      <c r="CW32" s="4" t="str">
        <f>'(Intermediate Computations)'!DF71</f>
        <v>MMM 2018</v>
      </c>
      <c r="CX32" s="4" t="str">
        <f>'(Intermediate Computations)'!DG71</f>
        <v>MMM 2018</v>
      </c>
      <c r="CY32" s="4" t="str">
        <f>'(Intermediate Computations)'!DH71</f>
        <v>MMM 2018</v>
      </c>
      <c r="CZ32" s="4" t="str">
        <f>'(Intermediate Computations)'!DI71</f>
        <v>MMM 2018</v>
      </c>
      <c r="DA32" s="4" t="str">
        <f>'(Intermediate Computations)'!DJ71</f>
        <v>MMM 2018</v>
      </c>
      <c r="DB32" s="4" t="str">
        <f>'(Intermediate Computations)'!DK71</f>
        <v>MMM 2018</v>
      </c>
      <c r="DC32" s="4" t="str">
        <f>'(Intermediate Computations)'!DL71</f>
        <v>MMM 2018</v>
      </c>
      <c r="DD32" s="4" t="str">
        <f>'(Intermediate Computations)'!DM71</f>
        <v>MMM 2018</v>
      </c>
      <c r="DE32" s="4" t="str">
        <f>'(Intermediate Computations)'!DO71</f>
        <v>MMM 2019</v>
      </c>
      <c r="DF32" s="4" t="str">
        <f>'(Intermediate Computations)'!DP71</f>
        <v>MMM 2019</v>
      </c>
      <c r="DG32" s="4" t="str">
        <f>'(Intermediate Computations)'!DQ71</f>
        <v>MMM 2019</v>
      </c>
      <c r="DH32" s="4" t="str">
        <f>'(Intermediate Computations)'!DR71</f>
        <v>MMM 2019</v>
      </c>
      <c r="DI32" s="4" t="str">
        <f>'(Intermediate Computations)'!DS71</f>
        <v>MMM 2019</v>
      </c>
      <c r="DJ32" s="4" t="str">
        <f>'(Intermediate Computations)'!DT71</f>
        <v>MMM 2019</v>
      </c>
      <c r="DK32" s="4" t="str">
        <f>'(Intermediate Computations)'!DU71</f>
        <v>MMM 2019</v>
      </c>
      <c r="DL32" s="4" t="str">
        <f>'(Intermediate Computations)'!DV71</f>
        <v>MMM 2019</v>
      </c>
      <c r="DM32" s="4" t="str">
        <f>'(Intermediate Computations)'!DW71</f>
        <v>MMM 2019</v>
      </c>
      <c r="DN32" s="4" t="str">
        <f>'(Intermediate Computations)'!DX71</f>
        <v>MMM 2019</v>
      </c>
      <c r="DO32" s="4" t="str">
        <f>'(Intermediate Computations)'!DY71</f>
        <v>MMM 2019</v>
      </c>
      <c r="DP32" s="4" t="str">
        <f>'(Intermediate Computations)'!DZ71</f>
        <v>MMM 2019</v>
      </c>
      <c r="DQ32" s="4" t="str">
        <f>'(Intermediate Computations)'!EB71</f>
        <v>MMM 2020</v>
      </c>
      <c r="DR32" s="4" t="str">
        <f>'(Intermediate Computations)'!EC71</f>
        <v>MMM 2020</v>
      </c>
      <c r="DS32" s="4" t="str">
        <f>'(Intermediate Computations)'!ED71</f>
        <v>MMM 2020</v>
      </c>
      <c r="DT32" s="4" t="str">
        <f>'(Intermediate Computations)'!EE71</f>
        <v>MMM 2020</v>
      </c>
      <c r="DU32" s="4" t="str">
        <f>'(Intermediate Computations)'!EF71</f>
        <v>MMM 2020</v>
      </c>
      <c r="DV32" s="4" t="str">
        <f>'(Intermediate Computations)'!EG71</f>
        <v>MMM 2020</v>
      </c>
      <c r="DW32" s="4" t="str">
        <f>'(Intermediate Computations)'!EH71</f>
        <v>MMM 2020</v>
      </c>
      <c r="DX32" s="4" t="str">
        <f>'(Intermediate Computations)'!EI71</f>
        <v>MMM 2020</v>
      </c>
      <c r="DY32" s="4" t="str">
        <f>'(Intermediate Computations)'!EJ71</f>
        <v>MMM 2020</v>
      </c>
      <c r="DZ32" s="4" t="str">
        <f>'(Intermediate Computations)'!EK71</f>
        <v>MMM 2020</v>
      </c>
      <c r="EA32" s="4" t="str">
        <f>'(Intermediate Computations)'!EL71</f>
        <v>MMM 2020</v>
      </c>
      <c r="EB32" s="4" t="str">
        <f>'(Intermediate Computations)'!EM71</f>
        <v>MMM 2020</v>
      </c>
    </row>
    <row r="33" spans="1:132" ht="12.75" customHeight="1" x14ac:dyDescent="0.2">
      <c r="A33" s="4">
        <f>'(Intermediate Computations)'!B68</f>
        <v>40179</v>
      </c>
      <c r="B33" s="4">
        <f>'(Intermediate Computations)'!C68</f>
        <v>40210</v>
      </c>
      <c r="C33" s="4">
        <f>'(Intermediate Computations)'!D68</f>
        <v>40238</v>
      </c>
      <c r="D33" s="4">
        <f>'(Intermediate Computations)'!E68</f>
        <v>40269</v>
      </c>
      <c r="E33" s="4">
        <f>'(Intermediate Computations)'!F68</f>
        <v>40299</v>
      </c>
      <c r="F33" s="4">
        <f>'(Intermediate Computations)'!G68</f>
        <v>40330</v>
      </c>
      <c r="G33" s="4">
        <f>'(Intermediate Computations)'!H68</f>
        <v>40360</v>
      </c>
      <c r="H33" s="4">
        <f>'(Intermediate Computations)'!I68</f>
        <v>40391</v>
      </c>
      <c r="I33" s="4">
        <f>'(Intermediate Computations)'!J68</f>
        <v>40422</v>
      </c>
      <c r="J33" s="4">
        <f>'(Intermediate Computations)'!K68</f>
        <v>40452</v>
      </c>
      <c r="K33" s="4">
        <f>'(Intermediate Computations)'!L68</f>
        <v>40483</v>
      </c>
      <c r="L33" s="4">
        <f>'(Intermediate Computations)'!M68</f>
        <v>40513</v>
      </c>
      <c r="M33" s="4">
        <f>'(Intermediate Computations)'!O68</f>
        <v>40544</v>
      </c>
      <c r="N33" s="4">
        <f>'(Intermediate Computations)'!P68</f>
        <v>40575</v>
      </c>
      <c r="O33" s="4">
        <f>'(Intermediate Computations)'!Q68</f>
        <v>40603</v>
      </c>
      <c r="P33" s="4">
        <f>'(Intermediate Computations)'!R68</f>
        <v>40634</v>
      </c>
      <c r="Q33" s="4">
        <f>'(Intermediate Computations)'!S68</f>
        <v>40664</v>
      </c>
      <c r="R33" s="4">
        <f>'(Intermediate Computations)'!T68</f>
        <v>40695</v>
      </c>
      <c r="S33" s="4">
        <f>'(Intermediate Computations)'!U68</f>
        <v>40725</v>
      </c>
      <c r="T33" s="4">
        <f>'(Intermediate Computations)'!V68</f>
        <v>40756</v>
      </c>
      <c r="U33" s="4">
        <f>'(Intermediate Computations)'!W68</f>
        <v>40787</v>
      </c>
      <c r="V33" s="4">
        <f>'(Intermediate Computations)'!X68</f>
        <v>40817</v>
      </c>
      <c r="W33" s="4">
        <f>'(Intermediate Computations)'!Y68</f>
        <v>40848</v>
      </c>
      <c r="X33" s="4">
        <f>'(Intermediate Computations)'!Z68</f>
        <v>40878</v>
      </c>
      <c r="Y33" s="4">
        <f>'(Intermediate Computations)'!AB68</f>
        <v>40909</v>
      </c>
      <c r="Z33" s="4">
        <f>'(Intermediate Computations)'!AC68</f>
        <v>40940</v>
      </c>
      <c r="AA33" s="4">
        <f>'(Intermediate Computations)'!AD68</f>
        <v>40969</v>
      </c>
      <c r="AB33" s="4">
        <f>'(Intermediate Computations)'!AE68</f>
        <v>41000</v>
      </c>
      <c r="AC33" s="4">
        <f>'(Intermediate Computations)'!AF68</f>
        <v>41030</v>
      </c>
      <c r="AD33" s="4">
        <f>'(Intermediate Computations)'!AG68</f>
        <v>41061</v>
      </c>
      <c r="AE33" s="4">
        <f>'(Intermediate Computations)'!AH68</f>
        <v>41091</v>
      </c>
      <c r="AF33" s="4">
        <f>'(Intermediate Computations)'!AI68</f>
        <v>41122</v>
      </c>
      <c r="AG33" s="4">
        <f>'(Intermediate Computations)'!AJ68</f>
        <v>41153</v>
      </c>
      <c r="AH33" s="4">
        <f>'(Intermediate Computations)'!AK68</f>
        <v>41183</v>
      </c>
      <c r="AI33" s="4">
        <f>'(Intermediate Computations)'!AL68</f>
        <v>41214</v>
      </c>
      <c r="AJ33" s="4">
        <f>'(Intermediate Computations)'!AM68</f>
        <v>41244</v>
      </c>
      <c r="AK33" s="4">
        <f>'(Intermediate Computations)'!AO68</f>
        <v>41275</v>
      </c>
      <c r="AL33" s="4">
        <f>'(Intermediate Computations)'!AP68</f>
        <v>41306</v>
      </c>
      <c r="AM33" s="4">
        <f>'(Intermediate Computations)'!AQ68</f>
        <v>41334</v>
      </c>
      <c r="AN33" s="4">
        <f>'(Intermediate Computations)'!AR68</f>
        <v>41365</v>
      </c>
      <c r="AO33" s="4">
        <f>'(Intermediate Computations)'!AS68</f>
        <v>41395</v>
      </c>
      <c r="AP33" s="4">
        <f>'(Intermediate Computations)'!AT68</f>
        <v>41426</v>
      </c>
      <c r="AQ33" s="4">
        <f>'(Intermediate Computations)'!AU68</f>
        <v>41456</v>
      </c>
      <c r="AR33" s="4">
        <f>'(Intermediate Computations)'!AV68</f>
        <v>41487</v>
      </c>
      <c r="AS33" s="4">
        <f>'(Intermediate Computations)'!AW68</f>
        <v>41518</v>
      </c>
      <c r="AT33" s="4">
        <f>'(Intermediate Computations)'!AX68</f>
        <v>41548</v>
      </c>
      <c r="AU33" s="4">
        <f>'(Intermediate Computations)'!AY68</f>
        <v>41579</v>
      </c>
      <c r="AV33" s="4">
        <f>'(Intermediate Computations)'!AZ68</f>
        <v>41609</v>
      </c>
      <c r="AW33" s="4">
        <f>'(Intermediate Computations)'!BB68</f>
        <v>41640</v>
      </c>
      <c r="AX33" s="4">
        <f>'(Intermediate Computations)'!BC68</f>
        <v>41671</v>
      </c>
      <c r="AY33" s="4">
        <f>'(Intermediate Computations)'!BD68</f>
        <v>41699</v>
      </c>
      <c r="AZ33" s="4">
        <f>'(Intermediate Computations)'!BE68</f>
        <v>41730</v>
      </c>
      <c r="BA33" s="4">
        <f>'(Intermediate Computations)'!BF68</f>
        <v>41760</v>
      </c>
      <c r="BB33" s="4">
        <f>'(Intermediate Computations)'!BG68</f>
        <v>41791</v>
      </c>
      <c r="BC33" s="4">
        <f>'(Intermediate Computations)'!BH68</f>
        <v>41821</v>
      </c>
      <c r="BD33" s="4">
        <f>'(Intermediate Computations)'!BI68</f>
        <v>41852</v>
      </c>
      <c r="BE33" s="4">
        <f>'(Intermediate Computations)'!BJ68</f>
        <v>41883</v>
      </c>
      <c r="BF33" s="4">
        <f>'(Intermediate Computations)'!BK68</f>
        <v>41913</v>
      </c>
      <c r="BG33" s="4">
        <f>'(Intermediate Computations)'!BL68</f>
        <v>41944</v>
      </c>
      <c r="BH33" s="4">
        <f>'(Intermediate Computations)'!BM68</f>
        <v>41974</v>
      </c>
      <c r="BI33" s="4">
        <f>'(Intermediate Computations)'!BO68</f>
        <v>42005</v>
      </c>
      <c r="BJ33" s="4">
        <f>'(Intermediate Computations)'!BP68</f>
        <v>42036</v>
      </c>
      <c r="BK33" s="4">
        <f>'(Intermediate Computations)'!BQ68</f>
        <v>42064</v>
      </c>
      <c r="BL33" s="4">
        <f>'(Intermediate Computations)'!BR68</f>
        <v>42095</v>
      </c>
      <c r="BM33" s="4">
        <f>'(Intermediate Computations)'!BS68</f>
        <v>42125</v>
      </c>
      <c r="BN33" s="4">
        <f>'(Intermediate Computations)'!BT68</f>
        <v>42156</v>
      </c>
      <c r="BO33" s="4">
        <f>'(Intermediate Computations)'!BU68</f>
        <v>42186</v>
      </c>
      <c r="BP33" s="4">
        <f>'(Intermediate Computations)'!BV68</f>
        <v>42217</v>
      </c>
      <c r="BQ33" s="4">
        <f>'(Intermediate Computations)'!BW68</f>
        <v>42248</v>
      </c>
      <c r="BR33" s="4">
        <f>'(Intermediate Computations)'!BX68</f>
        <v>42278</v>
      </c>
      <c r="BS33" s="4">
        <f>'(Intermediate Computations)'!BY68</f>
        <v>42309</v>
      </c>
      <c r="BT33" s="4">
        <f>'(Intermediate Computations)'!BZ68</f>
        <v>42339</v>
      </c>
      <c r="BU33" s="4">
        <f>'(Intermediate Computations)'!CB68</f>
        <v>42370</v>
      </c>
      <c r="BV33" s="4">
        <f>'(Intermediate Computations)'!CC68</f>
        <v>42401</v>
      </c>
      <c r="BW33" s="4">
        <f>'(Intermediate Computations)'!CD68</f>
        <v>42430</v>
      </c>
      <c r="BX33" s="4">
        <f>'(Intermediate Computations)'!CE68</f>
        <v>42461</v>
      </c>
      <c r="BY33" s="4">
        <f>'(Intermediate Computations)'!CF68</f>
        <v>42491</v>
      </c>
      <c r="BZ33" s="4">
        <f>'(Intermediate Computations)'!CG68</f>
        <v>42522</v>
      </c>
      <c r="CA33" s="4">
        <f>'(Intermediate Computations)'!CH68</f>
        <v>42552</v>
      </c>
      <c r="CB33" s="4">
        <f>'(Intermediate Computations)'!CI68</f>
        <v>42583</v>
      </c>
      <c r="CC33" s="4">
        <f>'(Intermediate Computations)'!CJ68</f>
        <v>42614</v>
      </c>
      <c r="CD33" s="4">
        <f>'(Intermediate Computations)'!CK68</f>
        <v>42644</v>
      </c>
      <c r="CE33" s="4">
        <f>'(Intermediate Computations)'!CL68</f>
        <v>42675</v>
      </c>
      <c r="CF33" s="4">
        <f>'(Intermediate Computations)'!CM68</f>
        <v>42705</v>
      </c>
      <c r="CG33" s="4">
        <f>'(Intermediate Computations)'!CO68</f>
        <v>42736</v>
      </c>
      <c r="CH33" s="4">
        <f>'(Intermediate Computations)'!CP68</f>
        <v>42767</v>
      </c>
      <c r="CI33" s="4">
        <f>'(Intermediate Computations)'!CQ68</f>
        <v>42795</v>
      </c>
      <c r="CJ33" s="4">
        <f>'(Intermediate Computations)'!CR68</f>
        <v>42826</v>
      </c>
      <c r="CK33" s="4">
        <f>'(Intermediate Computations)'!CS68</f>
        <v>42856</v>
      </c>
      <c r="CL33" s="4">
        <f>'(Intermediate Computations)'!CT68</f>
        <v>42887</v>
      </c>
      <c r="CM33" s="4">
        <f>'(Intermediate Computations)'!CU68</f>
        <v>42917</v>
      </c>
      <c r="CN33" s="4">
        <f>'(Intermediate Computations)'!CV68</f>
        <v>42948</v>
      </c>
      <c r="CO33" s="4">
        <f>'(Intermediate Computations)'!CW68</f>
        <v>42979</v>
      </c>
      <c r="CP33" s="4">
        <f>'(Intermediate Computations)'!CX68</f>
        <v>43009</v>
      </c>
      <c r="CQ33" s="4">
        <f>'(Intermediate Computations)'!CY68</f>
        <v>43040</v>
      </c>
      <c r="CR33" s="4">
        <f>'(Intermediate Computations)'!CZ68</f>
        <v>43070</v>
      </c>
      <c r="CS33" s="4">
        <f>'(Intermediate Computations)'!DB68</f>
        <v>43101</v>
      </c>
      <c r="CT33" s="4">
        <f>'(Intermediate Computations)'!DC68</f>
        <v>43132</v>
      </c>
      <c r="CU33" s="4">
        <f>'(Intermediate Computations)'!DD68</f>
        <v>43160</v>
      </c>
      <c r="CV33" s="4">
        <f>'(Intermediate Computations)'!DE68</f>
        <v>43191</v>
      </c>
      <c r="CW33" s="4">
        <f>'(Intermediate Computations)'!DF68</f>
        <v>43221</v>
      </c>
      <c r="CX33" s="4">
        <f>'(Intermediate Computations)'!DG68</f>
        <v>43252</v>
      </c>
      <c r="CY33" s="4">
        <f>'(Intermediate Computations)'!DH68</f>
        <v>43282</v>
      </c>
      <c r="CZ33" s="4">
        <f>'(Intermediate Computations)'!DI68</f>
        <v>43313</v>
      </c>
      <c r="DA33" s="4">
        <f>'(Intermediate Computations)'!DJ68</f>
        <v>43344</v>
      </c>
      <c r="DB33" s="4">
        <f>'(Intermediate Computations)'!DK68</f>
        <v>43374</v>
      </c>
      <c r="DC33" s="4">
        <f>'(Intermediate Computations)'!DL68</f>
        <v>43405</v>
      </c>
      <c r="DD33" s="4">
        <f>'(Intermediate Computations)'!DM68</f>
        <v>43435</v>
      </c>
      <c r="DE33" s="4">
        <f>'(Intermediate Computations)'!DO68</f>
        <v>43466</v>
      </c>
      <c r="DF33" s="4">
        <f>'(Intermediate Computations)'!DP68</f>
        <v>43497</v>
      </c>
      <c r="DG33" s="4">
        <f>'(Intermediate Computations)'!DQ68</f>
        <v>43525</v>
      </c>
      <c r="DH33" s="4">
        <f>'(Intermediate Computations)'!DR68</f>
        <v>43556</v>
      </c>
      <c r="DI33" s="4">
        <f>'(Intermediate Computations)'!DS68</f>
        <v>43586</v>
      </c>
      <c r="DJ33" s="4">
        <f>'(Intermediate Computations)'!DT68</f>
        <v>43617</v>
      </c>
      <c r="DK33" s="4">
        <f>'(Intermediate Computations)'!DU68</f>
        <v>43647</v>
      </c>
      <c r="DL33" s="4">
        <f>'(Intermediate Computations)'!DV68</f>
        <v>43678</v>
      </c>
      <c r="DM33" s="4">
        <f>'(Intermediate Computations)'!DW68</f>
        <v>43709</v>
      </c>
      <c r="DN33" s="4">
        <f>'(Intermediate Computations)'!DX68</f>
        <v>43739</v>
      </c>
      <c r="DO33" s="4">
        <f>'(Intermediate Computations)'!DY68</f>
        <v>43770</v>
      </c>
      <c r="DP33" s="4">
        <f>'(Intermediate Computations)'!DZ68</f>
        <v>43800</v>
      </c>
      <c r="DQ33" s="4">
        <f>'(Intermediate Computations)'!EB68</f>
        <v>43831</v>
      </c>
      <c r="DR33" s="4">
        <f>'(Intermediate Computations)'!EC68</f>
        <v>43862</v>
      </c>
      <c r="DS33" s="4">
        <f>'(Intermediate Computations)'!ED68</f>
        <v>43891</v>
      </c>
      <c r="DT33" s="4">
        <f>'(Intermediate Computations)'!EE68</f>
        <v>43922</v>
      </c>
      <c r="DU33" s="4">
        <f>'(Intermediate Computations)'!EF68</f>
        <v>43952</v>
      </c>
      <c r="DV33" s="4">
        <f>'(Intermediate Computations)'!EG68</f>
        <v>43983</v>
      </c>
      <c r="DW33" s="4">
        <f>'(Intermediate Computations)'!EH68</f>
        <v>44013</v>
      </c>
      <c r="DX33" s="4">
        <f>'(Intermediate Computations)'!EI68</f>
        <v>44044</v>
      </c>
      <c r="DY33" s="4">
        <f>'(Intermediate Computations)'!EJ68</f>
        <v>44075</v>
      </c>
      <c r="DZ33" s="4">
        <f>'(Intermediate Computations)'!EK68</f>
        <v>44105</v>
      </c>
      <c r="EA33" s="4">
        <f>'(Intermediate Computations)'!EL68</f>
        <v>44136</v>
      </c>
      <c r="EB33" s="4">
        <f>'(Intermediate Computations)'!EM68</f>
        <v>44166</v>
      </c>
    </row>
    <row r="34" spans="1:132" ht="12.75" customHeight="1" x14ac:dyDescent="0.2">
      <c r="A34" s="57">
        <f>Capital!B13</f>
        <v>34645298.421926454</v>
      </c>
      <c r="B34" s="57">
        <f ca="1">Capital!C13</f>
        <v>34645128.491047457</v>
      </c>
      <c r="C34" s="57">
        <f ca="1">Capital!D13</f>
        <v>34642982.798133671</v>
      </c>
      <c r="D34" s="57">
        <f ca="1">Capital!E13</f>
        <v>34646280.020260997</v>
      </c>
      <c r="E34" s="57">
        <f ca="1">Capital!F13</f>
        <v>34650183.664051116</v>
      </c>
      <c r="F34" s="57">
        <f ca="1">Capital!G13</f>
        <v>34646485.16080001</v>
      </c>
      <c r="G34" s="57">
        <f ca="1">Capital!H13</f>
        <v>34646929.410094798</v>
      </c>
      <c r="H34" s="57">
        <f ca="1">Capital!I13</f>
        <v>34646263.53996817</v>
      </c>
      <c r="I34" s="57">
        <f ca="1">Capital!J13</f>
        <v>34646864.683749512</v>
      </c>
      <c r="J34" s="57">
        <f ca="1">Capital!K13</f>
        <v>34648481.085399024</v>
      </c>
      <c r="K34" s="57">
        <f ca="1">Capital!L13</f>
        <v>34648855.099876888</v>
      </c>
      <c r="L34" s="57">
        <f ca="1">Capital!M13</f>
        <v>34649867.607002579</v>
      </c>
      <c r="M34" s="57">
        <f ca="1">Capital!O13</f>
        <v>34651049.633824416</v>
      </c>
      <c r="N34" s="57">
        <f ca="1">Capital!P13</f>
        <v>34649869.800621219</v>
      </c>
      <c r="O34" s="57">
        <f ca="1">Capital!Q13</f>
        <v>34653249.377161369</v>
      </c>
      <c r="P34" s="57">
        <f ca="1">Capital!R13</f>
        <v>34650607.617133334</v>
      </c>
      <c r="Q34" s="57">
        <f ca="1">Capital!S13</f>
        <v>34652809.703117952</v>
      </c>
      <c r="R34" s="57">
        <f ca="1">Capital!T13</f>
        <v>34656338.590936072</v>
      </c>
      <c r="S34" s="57">
        <f ca="1">Capital!U13</f>
        <v>34660429.334337242</v>
      </c>
      <c r="T34" s="57">
        <f ca="1">Capital!V13</f>
        <v>34656244.125500433</v>
      </c>
      <c r="U34" s="57">
        <f ca="1">Capital!W13</f>
        <v>34656637.11451409</v>
      </c>
      <c r="V34" s="57">
        <f ca="1">Capital!X13</f>
        <v>34659514.751988828</v>
      </c>
      <c r="W34" s="57">
        <f ca="1">Capital!Y13</f>
        <v>34655840.357808098</v>
      </c>
      <c r="X34" s="57">
        <f ca="1">Capital!Z13</f>
        <v>34657139.008240394</v>
      </c>
      <c r="Y34" s="57">
        <f ca="1">Capital!AB13</f>
        <v>34657108.350653403</v>
      </c>
      <c r="Z34" s="57">
        <f ca="1">Capital!AC13</f>
        <v>34659202.631763428</v>
      </c>
      <c r="AA34" s="57">
        <f ca="1">Capital!AD13</f>
        <v>34661801.720035315</v>
      </c>
      <c r="AB34" s="57">
        <f ca="1">Capital!AE13</f>
        <v>34663089.624158517</v>
      </c>
      <c r="AC34" s="57">
        <f ca="1">Capital!AF13</f>
        <v>34666015.426329896</v>
      </c>
      <c r="AD34" s="57">
        <f ca="1">Capital!AG13</f>
        <v>34668937.724341609</v>
      </c>
      <c r="AE34" s="57">
        <f ca="1">Capital!AH13</f>
        <v>34668574.20817969</v>
      </c>
      <c r="AF34" s="57">
        <f ca="1">Capital!AI13</f>
        <v>34667390.611078374</v>
      </c>
      <c r="AG34" s="57">
        <f ca="1">Capital!AJ13</f>
        <v>34666067.80347272</v>
      </c>
      <c r="AH34" s="57">
        <f ca="1">Capital!AK13</f>
        <v>34668438.252532445</v>
      </c>
      <c r="AI34" s="57">
        <f ca="1">Capital!AL13</f>
        <v>34666102.00776428</v>
      </c>
      <c r="AJ34" s="57">
        <f ca="1">Capital!AM13</f>
        <v>34666207.002372898</v>
      </c>
      <c r="AK34" s="57">
        <f ca="1">Capital!AO13</f>
        <v>34665310.317762516</v>
      </c>
      <c r="AL34" s="57">
        <f ca="1">Capital!AP13</f>
        <v>34664970.94780679</v>
      </c>
      <c r="AM34" s="57">
        <f ca="1">Capital!AQ13</f>
        <v>34665080.667860255</v>
      </c>
      <c r="AN34" s="57">
        <f ca="1">Capital!AR13</f>
        <v>34662485.429938294</v>
      </c>
      <c r="AO34" s="57">
        <f ca="1">Capital!AS13</f>
        <v>34663445.600675352</v>
      </c>
      <c r="AP34" s="57">
        <f ca="1">Capital!AT13</f>
        <v>34662850.014395349</v>
      </c>
      <c r="AQ34" s="57">
        <f ca="1">Capital!AU13</f>
        <v>34664077.179407425</v>
      </c>
      <c r="AR34" s="57">
        <f ca="1">Capital!AV13</f>
        <v>34665632.372869641</v>
      </c>
      <c r="AS34" s="57">
        <f ca="1">Capital!AW13</f>
        <v>34666174.793244034</v>
      </c>
      <c r="AT34" s="57">
        <f ca="1">Capital!AX13</f>
        <v>34669755.631129324</v>
      </c>
      <c r="AU34" s="57">
        <f ca="1">Capital!AY13</f>
        <v>34667724.118315898</v>
      </c>
      <c r="AV34" s="57">
        <f ca="1">Capital!AZ13</f>
        <v>34665293.195065469</v>
      </c>
      <c r="AW34" s="57">
        <f ca="1">Capital!BB13</f>
        <v>34668651.45476792</v>
      </c>
      <c r="AX34" s="57">
        <f ca="1">Capital!BC13</f>
        <v>34672280.742828712</v>
      </c>
      <c r="AY34" s="57">
        <f ca="1">Capital!BD13</f>
        <v>34670370.632478163</v>
      </c>
      <c r="AZ34" s="57">
        <f ca="1">Capital!BE13</f>
        <v>34668512.2351119</v>
      </c>
      <c r="BA34" s="57">
        <f ca="1">Capital!BF13</f>
        <v>34669371.775909513</v>
      </c>
      <c r="BB34" s="57">
        <f ca="1">Capital!BG13</f>
        <v>34666686.206522934</v>
      </c>
      <c r="BC34" s="57">
        <f ca="1">Capital!BH13</f>
        <v>34665255.262736954</v>
      </c>
      <c r="BD34" s="57">
        <f ca="1">Capital!BI13</f>
        <v>34665055.789071597</v>
      </c>
      <c r="BE34" s="57">
        <f ca="1">Capital!BJ13</f>
        <v>34663752.429117039</v>
      </c>
      <c r="BF34" s="57">
        <f ca="1">Capital!BK13</f>
        <v>34667144.973163784</v>
      </c>
      <c r="BG34" s="57">
        <f ca="1">Capital!BL13</f>
        <v>34665177.788534887</v>
      </c>
      <c r="BH34" s="57">
        <f ca="1">Capital!BM13</f>
        <v>34668380.712839305</v>
      </c>
      <c r="BI34" s="57">
        <f ca="1">Capital!BO13</f>
        <v>34665006.273668535</v>
      </c>
      <c r="BJ34" s="57">
        <f ca="1">Capital!BP13</f>
        <v>34667332.683263414</v>
      </c>
      <c r="BK34" s="57">
        <f ca="1">Capital!BQ13</f>
        <v>34670751.392267302</v>
      </c>
      <c r="BL34" s="57">
        <f ca="1">Capital!BR13</f>
        <v>34670309.182669438</v>
      </c>
      <c r="BM34" s="57">
        <f ca="1">Capital!BS13</f>
        <v>34668343.513724715</v>
      </c>
      <c r="BN34" s="57">
        <f ca="1">Capital!BT13</f>
        <v>34672574.861371823</v>
      </c>
      <c r="BO34" s="57">
        <f ca="1">Capital!BU13</f>
        <v>34670539.61655876</v>
      </c>
      <c r="BP34" s="57">
        <f ca="1">Capital!BV13</f>
        <v>34673066.169741437</v>
      </c>
      <c r="BQ34" s="57">
        <f ca="1">Capital!BW13</f>
        <v>34674484.452756584</v>
      </c>
      <c r="BR34" s="57">
        <f ca="1">Capital!BX13</f>
        <v>34677612.102317885</v>
      </c>
      <c r="BS34" s="57">
        <f ca="1">Capital!BY13</f>
        <v>34677028.787125312</v>
      </c>
      <c r="BT34" s="57">
        <f ca="1">Capital!BZ13</f>
        <v>34674375.708485305</v>
      </c>
      <c r="BU34" s="57">
        <f ca="1">Capital!CB13</f>
        <v>34674876.070082739</v>
      </c>
      <c r="BV34" s="57">
        <f ca="1">Capital!CC13</f>
        <v>34673933.769904375</v>
      </c>
      <c r="BW34" s="57">
        <f ca="1">Capital!CD13</f>
        <v>34672871.066345312</v>
      </c>
      <c r="BX34" s="57">
        <f ca="1">Capital!CE13</f>
        <v>34671924.807349071</v>
      </c>
      <c r="BY34" s="57">
        <f ca="1">Capital!CF13</f>
        <v>34671419.508156739</v>
      </c>
      <c r="BZ34" s="57">
        <f ca="1">Capital!CG13</f>
        <v>34673220.691724122</v>
      </c>
      <c r="CA34" s="57">
        <f ca="1">Capital!CH13</f>
        <v>34671911.163795009</v>
      </c>
      <c r="CB34" s="57">
        <f ca="1">Capital!CI13</f>
        <v>34669864.059238181</v>
      </c>
      <c r="CC34" s="57">
        <f ca="1">Capital!CJ13</f>
        <v>34667633.640925355</v>
      </c>
      <c r="CD34" s="57">
        <f ca="1">Capital!CK13</f>
        <v>34667425.847667858</v>
      </c>
      <c r="CE34" s="57">
        <f ca="1">Capital!CL13</f>
        <v>34665004.318081215</v>
      </c>
      <c r="CF34" s="57">
        <f ca="1">Capital!CM13</f>
        <v>34666948.387297288</v>
      </c>
      <c r="CG34" s="57">
        <f ca="1">Capital!CO13</f>
        <v>34667985.079619557</v>
      </c>
      <c r="CH34" s="57">
        <f ca="1">Capital!CP13</f>
        <v>34665086.272264324</v>
      </c>
      <c r="CI34" s="57">
        <f ca="1">Capital!CQ13</f>
        <v>34661858.665258832</v>
      </c>
      <c r="CJ34" s="57">
        <f ca="1">Capital!CR13</f>
        <v>34659998.116052873</v>
      </c>
      <c r="CK34" s="57">
        <f ca="1">Capital!CS13</f>
        <v>34658961.020522207</v>
      </c>
      <c r="CL34" s="57">
        <f ca="1">Capital!CT13</f>
        <v>34657641.980801336</v>
      </c>
      <c r="CM34" s="57">
        <f ca="1">Capital!CU13</f>
        <v>34657467.361448742</v>
      </c>
      <c r="CN34" s="57">
        <f ca="1">Capital!CV13</f>
        <v>34659461.938481733</v>
      </c>
      <c r="CO34" s="57">
        <f ca="1">Capital!CW13</f>
        <v>34660641.928253256</v>
      </c>
      <c r="CP34" s="57">
        <f ca="1">Capital!CX13</f>
        <v>34662156.394599497</v>
      </c>
      <c r="CQ34" s="57">
        <f ca="1">Capital!CY13</f>
        <v>34661068.652579553</v>
      </c>
      <c r="CR34" s="57">
        <f ca="1">Capital!CZ13</f>
        <v>34661128.037263468</v>
      </c>
      <c r="CS34" s="57">
        <f ca="1">Capital!DB13</f>
        <v>34663562.447242916</v>
      </c>
      <c r="CT34" s="57">
        <f ca="1">Capital!DC13</f>
        <v>34664553.273416385</v>
      </c>
      <c r="CU34" s="57">
        <f ca="1">Capital!DD13</f>
        <v>34665434.604147129</v>
      </c>
      <c r="CV34" s="57">
        <f ca="1">Capital!DE13</f>
        <v>34662000.112274647</v>
      </c>
      <c r="CW34" s="57">
        <f ca="1">Capital!DF13</f>
        <v>34658920.522332989</v>
      </c>
      <c r="CX34" s="57">
        <f ca="1">Capital!DG13</f>
        <v>34657988.738801919</v>
      </c>
      <c r="CY34" s="57">
        <f ca="1">Capital!DH13</f>
        <v>34658631.140674219</v>
      </c>
      <c r="CZ34" s="57">
        <f ca="1">Capital!DI13</f>
        <v>34656470.063090622</v>
      </c>
      <c r="DA34" s="57">
        <f ca="1">Capital!DJ13</f>
        <v>34654404.619703405</v>
      </c>
      <c r="DB34" s="57">
        <f ca="1">Capital!DK13</f>
        <v>34655004.530007198</v>
      </c>
      <c r="DC34" s="57">
        <f ca="1">Capital!DL13</f>
        <v>34655408.755086966</v>
      </c>
      <c r="DD34" s="57">
        <f ca="1">Capital!DM13</f>
        <v>34657113.387987442</v>
      </c>
      <c r="DE34" s="57">
        <f ca="1">Capital!DO13</f>
        <v>34652930.039152406</v>
      </c>
      <c r="DF34" s="57">
        <f ca="1">Capital!DP13</f>
        <v>34653956.881590001</v>
      </c>
      <c r="DG34" s="57">
        <f ca="1">Capital!DQ13</f>
        <v>34652565.344677873</v>
      </c>
      <c r="DH34" s="57">
        <f ca="1">Capital!DR13</f>
        <v>34650151.506908365</v>
      </c>
      <c r="DI34" s="57">
        <f ca="1">Capital!DS13</f>
        <v>34651960.915995143</v>
      </c>
      <c r="DJ34" s="57">
        <f ca="1">Capital!DT13</f>
        <v>34651746.671118155</v>
      </c>
      <c r="DK34" s="57">
        <f ca="1">Capital!DU13</f>
        <v>34648909.548734143</v>
      </c>
      <c r="DL34" s="57">
        <f ca="1">Capital!DV13</f>
        <v>34651809.272228576</v>
      </c>
      <c r="DM34" s="57">
        <f ca="1">Capital!DW13</f>
        <v>34653009.899995714</v>
      </c>
      <c r="DN34" s="57">
        <f ca="1">Capital!DX13</f>
        <v>34649999.435938768</v>
      </c>
      <c r="DO34" s="57">
        <f ca="1">Capital!DY13</f>
        <v>34650954.210512131</v>
      </c>
      <c r="DP34" s="57">
        <f ca="1">Capital!DZ13</f>
        <v>34651337.669252589</v>
      </c>
      <c r="DQ34" s="57">
        <f ca="1">Capital!EB13</f>
        <v>34653738.265728474</v>
      </c>
      <c r="DR34" s="57">
        <f ca="1">Capital!EC13</f>
        <v>34650594.160293542</v>
      </c>
      <c r="DS34" s="57">
        <f ca="1">Capital!ED13</f>
        <v>34647738.622375108</v>
      </c>
      <c r="DT34" s="57">
        <f ca="1">Capital!EE13</f>
        <v>34648614.195241772</v>
      </c>
      <c r="DU34" s="57">
        <f ca="1">Capital!EF13</f>
        <v>34646004.578187205</v>
      </c>
      <c r="DV34" s="57">
        <f ca="1">Capital!EG13</f>
        <v>34648982.950974092</v>
      </c>
      <c r="DW34" s="57">
        <f ca="1">Capital!EH13</f>
        <v>34647892.142620213</v>
      </c>
      <c r="DX34" s="57">
        <f ca="1">Capital!EI13</f>
        <v>34643992.011265352</v>
      </c>
      <c r="DY34" s="57">
        <f ca="1">Capital!EJ13</f>
        <v>34644753.951813035</v>
      </c>
      <c r="DZ34" s="57">
        <f ca="1">Capital!EK13</f>
        <v>34640969.877472527</v>
      </c>
      <c r="EA34" s="57">
        <f ca="1">Capital!EL13</f>
        <v>34643356.520081915</v>
      </c>
      <c r="EB34" s="57">
        <f ca="1">Capital!EM13</f>
        <v>34642468.154785074</v>
      </c>
    </row>
    <row r="35" spans="1:132" ht="12.75" customHeight="1" x14ac:dyDescent="0.2">
      <c r="A35" s="4" t="str">
        <f>'(Intermediate Computations)'!B77</f>
        <v>MMM 2010</v>
      </c>
      <c r="B35" s="4" t="str">
        <f>'(Intermediate Computations)'!C77</f>
        <v>MMM 2010</v>
      </c>
      <c r="C35" s="4" t="str">
        <f>'(Intermediate Computations)'!D77</f>
        <v>MMM 2010</v>
      </c>
      <c r="D35" s="4" t="str">
        <f>'(Intermediate Computations)'!E77</f>
        <v>MMM 2010</v>
      </c>
      <c r="E35" s="4" t="str">
        <f>'(Intermediate Computations)'!F77</f>
        <v>MMM 2010</v>
      </c>
      <c r="F35" s="4" t="str">
        <f>'(Intermediate Computations)'!G77</f>
        <v>MMM 2010</v>
      </c>
      <c r="G35" s="4" t="str">
        <f>'(Intermediate Computations)'!H77</f>
        <v>MMM 2010</v>
      </c>
      <c r="H35" s="4" t="str">
        <f>'(Intermediate Computations)'!I77</f>
        <v>MMM 2010</v>
      </c>
      <c r="I35" s="4" t="str">
        <f>'(Intermediate Computations)'!J77</f>
        <v>MMM 2010</v>
      </c>
      <c r="J35" s="4" t="str">
        <f>'(Intermediate Computations)'!K77</f>
        <v>MMM 2010</v>
      </c>
      <c r="K35" s="4" t="str">
        <f>'(Intermediate Computations)'!L77</f>
        <v>MMM 2010</v>
      </c>
      <c r="L35" s="4" t="str">
        <f>'(Intermediate Computations)'!M77</f>
        <v>MMM 2010</v>
      </c>
      <c r="M35" s="4" t="str">
        <f>'(Intermediate Computations)'!O77</f>
        <v>MMM 2011</v>
      </c>
      <c r="N35" s="4" t="str">
        <f>'(Intermediate Computations)'!P77</f>
        <v>MMM 2011</v>
      </c>
      <c r="O35" s="4" t="str">
        <f>'(Intermediate Computations)'!Q77</f>
        <v>MMM 2011</v>
      </c>
      <c r="P35" s="4" t="str">
        <f>'(Intermediate Computations)'!R77</f>
        <v>MMM 2011</v>
      </c>
      <c r="Q35" s="4" t="str">
        <f>'(Intermediate Computations)'!S77</f>
        <v>MMM 2011</v>
      </c>
      <c r="R35" s="4" t="str">
        <f>'(Intermediate Computations)'!T77</f>
        <v>MMM 2011</v>
      </c>
      <c r="S35" s="4" t="str">
        <f>'(Intermediate Computations)'!U77</f>
        <v>MMM 2011</v>
      </c>
      <c r="T35" s="4" t="str">
        <f>'(Intermediate Computations)'!V77</f>
        <v>MMM 2011</v>
      </c>
      <c r="U35" s="4" t="str">
        <f>'(Intermediate Computations)'!W77</f>
        <v>MMM 2011</v>
      </c>
      <c r="V35" s="4" t="str">
        <f>'(Intermediate Computations)'!X77</f>
        <v>MMM 2011</v>
      </c>
      <c r="W35" s="4" t="str">
        <f>'(Intermediate Computations)'!Y77</f>
        <v>MMM 2011</v>
      </c>
      <c r="X35" s="4" t="str">
        <f>'(Intermediate Computations)'!Z77</f>
        <v>MMM 2011</v>
      </c>
      <c r="Y35" s="4" t="str">
        <f>'(Intermediate Computations)'!AB77</f>
        <v>MMM 2012</v>
      </c>
      <c r="Z35" s="4" t="str">
        <f>'(Intermediate Computations)'!AC77</f>
        <v>MMM 2012</v>
      </c>
      <c r="AA35" s="4" t="str">
        <f>'(Intermediate Computations)'!AD77</f>
        <v>MMM 2012</v>
      </c>
      <c r="AB35" s="4" t="str">
        <f>'(Intermediate Computations)'!AE77</f>
        <v>MMM 2012</v>
      </c>
      <c r="AC35" s="4" t="str">
        <f>'(Intermediate Computations)'!AF77</f>
        <v>MMM 2012</v>
      </c>
      <c r="AD35" s="4" t="str">
        <f>'(Intermediate Computations)'!AG77</f>
        <v>MMM 2012</v>
      </c>
      <c r="AE35" s="4" t="str">
        <f>'(Intermediate Computations)'!AH77</f>
        <v>MMM 2012</v>
      </c>
      <c r="AF35" s="4" t="str">
        <f>'(Intermediate Computations)'!AI77</f>
        <v>MMM 2012</v>
      </c>
      <c r="AG35" s="4" t="str">
        <f>'(Intermediate Computations)'!AJ77</f>
        <v>MMM 2012</v>
      </c>
      <c r="AH35" s="4" t="str">
        <f>'(Intermediate Computations)'!AK77</f>
        <v>MMM 2012</v>
      </c>
      <c r="AI35" s="4" t="str">
        <f>'(Intermediate Computations)'!AL77</f>
        <v>MMM 2012</v>
      </c>
      <c r="AJ35" s="4" t="str">
        <f>'(Intermediate Computations)'!AM77</f>
        <v>MMM 2012</v>
      </c>
      <c r="AK35" s="4" t="str">
        <f>'(Intermediate Computations)'!AO77</f>
        <v>MMM 2013</v>
      </c>
      <c r="AL35" s="4" t="str">
        <f>'(Intermediate Computations)'!AP77</f>
        <v>MMM 2013</v>
      </c>
      <c r="AM35" s="4" t="str">
        <f>'(Intermediate Computations)'!AQ77</f>
        <v>MMM 2013</v>
      </c>
      <c r="AN35" s="4" t="str">
        <f>'(Intermediate Computations)'!AR77</f>
        <v>MMM 2013</v>
      </c>
      <c r="AO35" s="4" t="str">
        <f>'(Intermediate Computations)'!AS77</f>
        <v>MMM 2013</v>
      </c>
      <c r="AP35" s="4" t="str">
        <f>'(Intermediate Computations)'!AT77</f>
        <v>MMM 2013</v>
      </c>
      <c r="AQ35" s="4" t="str">
        <f>'(Intermediate Computations)'!AU77</f>
        <v>MMM 2013</v>
      </c>
      <c r="AR35" s="4" t="str">
        <f>'(Intermediate Computations)'!AV77</f>
        <v>MMM 2013</v>
      </c>
      <c r="AS35" s="4" t="str">
        <f>'(Intermediate Computations)'!AW77</f>
        <v>MMM 2013</v>
      </c>
      <c r="AT35" s="4" t="str">
        <f>'(Intermediate Computations)'!AX77</f>
        <v>MMM 2013</v>
      </c>
      <c r="AU35" s="4" t="str">
        <f>'(Intermediate Computations)'!AY77</f>
        <v>MMM 2013</v>
      </c>
      <c r="AV35" s="4" t="str">
        <f>'(Intermediate Computations)'!AZ77</f>
        <v>MMM 2013</v>
      </c>
      <c r="AW35" s="4" t="str">
        <f>'(Intermediate Computations)'!BB77</f>
        <v>MMM 2014</v>
      </c>
      <c r="AX35" s="4" t="str">
        <f>'(Intermediate Computations)'!BC77</f>
        <v>MMM 2014</v>
      </c>
      <c r="AY35" s="4" t="str">
        <f>'(Intermediate Computations)'!BD77</f>
        <v>MMM 2014</v>
      </c>
      <c r="AZ35" s="4" t="str">
        <f>'(Intermediate Computations)'!BE77</f>
        <v>MMM 2014</v>
      </c>
      <c r="BA35" s="4" t="str">
        <f>'(Intermediate Computations)'!BF77</f>
        <v>MMM 2014</v>
      </c>
      <c r="BB35" s="4" t="str">
        <f>'(Intermediate Computations)'!BG77</f>
        <v>MMM 2014</v>
      </c>
      <c r="BC35" s="4" t="str">
        <f>'(Intermediate Computations)'!BH77</f>
        <v>MMM 2014</v>
      </c>
      <c r="BD35" s="4" t="str">
        <f>'(Intermediate Computations)'!BI77</f>
        <v>MMM 2014</v>
      </c>
      <c r="BE35" s="4" t="str">
        <f>'(Intermediate Computations)'!BJ77</f>
        <v>MMM 2014</v>
      </c>
      <c r="BF35" s="4" t="str">
        <f>'(Intermediate Computations)'!BK77</f>
        <v>MMM 2014</v>
      </c>
      <c r="BG35" s="4" t="str">
        <f>'(Intermediate Computations)'!BL77</f>
        <v>MMM 2014</v>
      </c>
      <c r="BH35" s="4" t="str">
        <f>'(Intermediate Computations)'!BM77</f>
        <v>MMM 2014</v>
      </c>
      <c r="BI35" s="4" t="str">
        <f>'(Intermediate Computations)'!BO77</f>
        <v>MMM 2015</v>
      </c>
      <c r="BJ35" s="4" t="str">
        <f>'(Intermediate Computations)'!BP77</f>
        <v>MMM 2015</v>
      </c>
      <c r="BK35" s="4" t="str">
        <f>'(Intermediate Computations)'!BQ77</f>
        <v>MMM 2015</v>
      </c>
      <c r="BL35" s="4" t="str">
        <f>'(Intermediate Computations)'!BR77</f>
        <v>MMM 2015</v>
      </c>
      <c r="BM35" s="4" t="str">
        <f>'(Intermediate Computations)'!BS77</f>
        <v>MMM 2015</v>
      </c>
      <c r="BN35" s="4" t="str">
        <f>'(Intermediate Computations)'!BT77</f>
        <v>MMM 2015</v>
      </c>
      <c r="BO35" s="4" t="str">
        <f>'(Intermediate Computations)'!BU77</f>
        <v>MMM 2015</v>
      </c>
      <c r="BP35" s="4" t="str">
        <f>'(Intermediate Computations)'!BV77</f>
        <v>MMM 2015</v>
      </c>
      <c r="BQ35" s="4" t="str">
        <f>'(Intermediate Computations)'!BW77</f>
        <v>MMM 2015</v>
      </c>
      <c r="BR35" s="4" t="str">
        <f>'(Intermediate Computations)'!BX77</f>
        <v>MMM 2015</v>
      </c>
      <c r="BS35" s="4" t="str">
        <f>'(Intermediate Computations)'!BY77</f>
        <v>MMM 2015</v>
      </c>
      <c r="BT35" s="4" t="str">
        <f>'(Intermediate Computations)'!BZ77</f>
        <v>MMM 2015</v>
      </c>
      <c r="BU35" s="4" t="str">
        <f>'(Intermediate Computations)'!CB77</f>
        <v>MMM 2016</v>
      </c>
      <c r="BV35" s="4" t="str">
        <f>'(Intermediate Computations)'!CC77</f>
        <v>MMM 2016</v>
      </c>
      <c r="BW35" s="4" t="str">
        <f>'(Intermediate Computations)'!CD77</f>
        <v>MMM 2016</v>
      </c>
      <c r="BX35" s="4" t="str">
        <f>'(Intermediate Computations)'!CE77</f>
        <v>MMM 2016</v>
      </c>
      <c r="BY35" s="4" t="str">
        <f>'(Intermediate Computations)'!CF77</f>
        <v>MMM 2016</v>
      </c>
      <c r="BZ35" s="4" t="str">
        <f>'(Intermediate Computations)'!CG77</f>
        <v>MMM 2016</v>
      </c>
      <c r="CA35" s="4" t="str">
        <f>'(Intermediate Computations)'!CH77</f>
        <v>MMM 2016</v>
      </c>
      <c r="CB35" s="4" t="str">
        <f>'(Intermediate Computations)'!CI77</f>
        <v>MMM 2016</v>
      </c>
      <c r="CC35" s="4" t="str">
        <f>'(Intermediate Computations)'!CJ77</f>
        <v>MMM 2016</v>
      </c>
      <c r="CD35" s="4" t="str">
        <f>'(Intermediate Computations)'!CK77</f>
        <v>MMM 2016</v>
      </c>
      <c r="CE35" s="4" t="str">
        <f>'(Intermediate Computations)'!CL77</f>
        <v>MMM 2016</v>
      </c>
      <c r="CF35" s="4" t="str">
        <f>'(Intermediate Computations)'!CM77</f>
        <v>MMM 2016</v>
      </c>
      <c r="CG35" s="4" t="str">
        <f>'(Intermediate Computations)'!CO77</f>
        <v>MMM 2017</v>
      </c>
      <c r="CH35" s="4" t="str">
        <f>'(Intermediate Computations)'!CP77</f>
        <v>MMM 2017</v>
      </c>
      <c r="CI35" s="4" t="str">
        <f>'(Intermediate Computations)'!CQ77</f>
        <v>MMM 2017</v>
      </c>
      <c r="CJ35" s="4" t="str">
        <f>'(Intermediate Computations)'!CR77</f>
        <v>MMM 2017</v>
      </c>
      <c r="CK35" s="4" t="str">
        <f>'(Intermediate Computations)'!CS77</f>
        <v>MMM 2017</v>
      </c>
      <c r="CL35" s="4" t="str">
        <f>'(Intermediate Computations)'!CT77</f>
        <v>MMM 2017</v>
      </c>
      <c r="CM35" s="4" t="str">
        <f>'(Intermediate Computations)'!CU77</f>
        <v>MMM 2017</v>
      </c>
      <c r="CN35" s="4" t="str">
        <f>'(Intermediate Computations)'!CV77</f>
        <v>MMM 2017</v>
      </c>
      <c r="CO35" s="4" t="str">
        <f>'(Intermediate Computations)'!CW77</f>
        <v>MMM 2017</v>
      </c>
      <c r="CP35" s="4" t="str">
        <f>'(Intermediate Computations)'!CX77</f>
        <v>MMM 2017</v>
      </c>
      <c r="CQ35" s="4" t="str">
        <f>'(Intermediate Computations)'!CY77</f>
        <v>MMM 2017</v>
      </c>
      <c r="CR35" s="4" t="str">
        <f>'(Intermediate Computations)'!CZ77</f>
        <v>MMM 2017</v>
      </c>
      <c r="CS35" s="4" t="str">
        <f>'(Intermediate Computations)'!DB77</f>
        <v>MMM 2018</v>
      </c>
      <c r="CT35" s="4" t="str">
        <f>'(Intermediate Computations)'!DC77</f>
        <v>MMM 2018</v>
      </c>
      <c r="CU35" s="4" t="str">
        <f>'(Intermediate Computations)'!DD77</f>
        <v>MMM 2018</v>
      </c>
      <c r="CV35" s="4" t="str">
        <f>'(Intermediate Computations)'!DE77</f>
        <v>MMM 2018</v>
      </c>
      <c r="CW35" s="4" t="str">
        <f>'(Intermediate Computations)'!DF77</f>
        <v>MMM 2018</v>
      </c>
      <c r="CX35" s="4" t="str">
        <f>'(Intermediate Computations)'!DG77</f>
        <v>MMM 2018</v>
      </c>
      <c r="CY35" s="4" t="str">
        <f>'(Intermediate Computations)'!DH77</f>
        <v>MMM 2018</v>
      </c>
      <c r="CZ35" s="4" t="str">
        <f>'(Intermediate Computations)'!DI77</f>
        <v>MMM 2018</v>
      </c>
      <c r="DA35" s="4" t="str">
        <f>'(Intermediate Computations)'!DJ77</f>
        <v>MMM 2018</v>
      </c>
      <c r="DB35" s="4" t="str">
        <f>'(Intermediate Computations)'!DK77</f>
        <v>MMM 2018</v>
      </c>
      <c r="DC35" s="4" t="str">
        <f>'(Intermediate Computations)'!DL77</f>
        <v>MMM 2018</v>
      </c>
      <c r="DD35" s="4" t="str">
        <f>'(Intermediate Computations)'!DM77</f>
        <v>MMM 2018</v>
      </c>
      <c r="DE35" s="4" t="str">
        <f>'(Intermediate Computations)'!DO77</f>
        <v>MMM 2019</v>
      </c>
      <c r="DF35" s="4" t="str">
        <f>'(Intermediate Computations)'!DP77</f>
        <v>MMM 2019</v>
      </c>
      <c r="DG35" s="4" t="str">
        <f>'(Intermediate Computations)'!DQ77</f>
        <v>MMM 2019</v>
      </c>
      <c r="DH35" s="4" t="str">
        <f>'(Intermediate Computations)'!DR77</f>
        <v>MMM 2019</v>
      </c>
      <c r="DI35" s="4" t="str">
        <f>'(Intermediate Computations)'!DS77</f>
        <v>MMM 2019</v>
      </c>
      <c r="DJ35" s="4" t="str">
        <f>'(Intermediate Computations)'!DT77</f>
        <v>MMM 2019</v>
      </c>
      <c r="DK35" s="4" t="str">
        <f>'(Intermediate Computations)'!DU77</f>
        <v>MMM 2019</v>
      </c>
      <c r="DL35" s="4" t="str">
        <f>'(Intermediate Computations)'!DV77</f>
        <v>MMM 2019</v>
      </c>
      <c r="DM35" s="4" t="str">
        <f>'(Intermediate Computations)'!DW77</f>
        <v>MMM 2019</v>
      </c>
      <c r="DN35" s="4" t="str">
        <f>'(Intermediate Computations)'!DX77</f>
        <v>MMM 2019</v>
      </c>
      <c r="DO35" s="4" t="str">
        <f>'(Intermediate Computations)'!DY77</f>
        <v>MMM 2019</v>
      </c>
      <c r="DP35" s="4" t="str">
        <f>'(Intermediate Computations)'!DZ77</f>
        <v>MMM 2019</v>
      </c>
      <c r="DQ35" s="4" t="str">
        <f>'(Intermediate Computations)'!EB77</f>
        <v>MMM 2020</v>
      </c>
      <c r="DR35" s="4" t="str">
        <f>'(Intermediate Computations)'!EC77</f>
        <v>MMM 2020</v>
      </c>
      <c r="DS35" s="4" t="str">
        <f>'(Intermediate Computations)'!ED77</f>
        <v>MMM 2020</v>
      </c>
      <c r="DT35" s="4" t="str">
        <f>'(Intermediate Computations)'!EE77</f>
        <v>MMM 2020</v>
      </c>
      <c r="DU35" s="4" t="str">
        <f>'(Intermediate Computations)'!EF77</f>
        <v>MMM 2020</v>
      </c>
      <c r="DV35" s="4" t="str">
        <f>'(Intermediate Computations)'!EG77</f>
        <v>MMM 2020</v>
      </c>
      <c r="DW35" s="4" t="str">
        <f>'(Intermediate Computations)'!EH77</f>
        <v>MMM 2020</v>
      </c>
      <c r="DX35" s="4" t="str">
        <f>'(Intermediate Computations)'!EI77</f>
        <v>MMM 2020</v>
      </c>
      <c r="DY35" s="4" t="str">
        <f>'(Intermediate Computations)'!EJ77</f>
        <v>MMM 2020</v>
      </c>
      <c r="DZ35" s="4" t="str">
        <f>'(Intermediate Computations)'!EK77</f>
        <v>MMM 2020</v>
      </c>
      <c r="EA35" s="4" t="str">
        <f>'(Intermediate Computations)'!EL77</f>
        <v>MMM 2020</v>
      </c>
      <c r="EB35" s="4" t="str">
        <f>'(Intermediate Computations)'!EM77</f>
        <v>MMM 2020</v>
      </c>
    </row>
    <row r="36" spans="1:132" ht="12.75" customHeight="1" x14ac:dyDescent="0.2">
      <c r="A36" s="4">
        <f>'(Intermediate Computations)'!B74</f>
        <v>40179</v>
      </c>
      <c r="B36" s="4">
        <f>'(Intermediate Computations)'!C74</f>
        <v>40210</v>
      </c>
      <c r="C36" s="4">
        <f>'(Intermediate Computations)'!D74</f>
        <v>40238</v>
      </c>
      <c r="D36" s="4">
        <f>'(Intermediate Computations)'!E74</f>
        <v>40269</v>
      </c>
      <c r="E36" s="4">
        <f>'(Intermediate Computations)'!F74</f>
        <v>40299</v>
      </c>
      <c r="F36" s="4">
        <f>'(Intermediate Computations)'!G74</f>
        <v>40330</v>
      </c>
      <c r="G36" s="4">
        <f>'(Intermediate Computations)'!H74</f>
        <v>40360</v>
      </c>
      <c r="H36" s="4">
        <f>'(Intermediate Computations)'!I74</f>
        <v>40391</v>
      </c>
      <c r="I36" s="4">
        <f>'(Intermediate Computations)'!J74</f>
        <v>40422</v>
      </c>
      <c r="J36" s="4">
        <f>'(Intermediate Computations)'!K74</f>
        <v>40452</v>
      </c>
      <c r="K36" s="4">
        <f>'(Intermediate Computations)'!L74</f>
        <v>40483</v>
      </c>
      <c r="L36" s="4">
        <f>'(Intermediate Computations)'!M74</f>
        <v>40513</v>
      </c>
      <c r="M36" s="4">
        <f>'(Intermediate Computations)'!O74</f>
        <v>40544</v>
      </c>
      <c r="N36" s="4">
        <f>'(Intermediate Computations)'!P74</f>
        <v>40575</v>
      </c>
      <c r="O36" s="4">
        <f>'(Intermediate Computations)'!Q74</f>
        <v>40603</v>
      </c>
      <c r="P36" s="4">
        <f>'(Intermediate Computations)'!R74</f>
        <v>40634</v>
      </c>
      <c r="Q36" s="4">
        <f>'(Intermediate Computations)'!S74</f>
        <v>40664</v>
      </c>
      <c r="R36" s="4">
        <f>'(Intermediate Computations)'!T74</f>
        <v>40695</v>
      </c>
      <c r="S36" s="4">
        <f>'(Intermediate Computations)'!U74</f>
        <v>40725</v>
      </c>
      <c r="T36" s="4">
        <f>'(Intermediate Computations)'!V74</f>
        <v>40756</v>
      </c>
      <c r="U36" s="4">
        <f>'(Intermediate Computations)'!W74</f>
        <v>40787</v>
      </c>
      <c r="V36" s="4">
        <f>'(Intermediate Computations)'!X74</f>
        <v>40817</v>
      </c>
      <c r="W36" s="4">
        <f>'(Intermediate Computations)'!Y74</f>
        <v>40848</v>
      </c>
      <c r="X36" s="4">
        <f>'(Intermediate Computations)'!Z74</f>
        <v>40878</v>
      </c>
      <c r="Y36" s="4">
        <f>'(Intermediate Computations)'!AB74</f>
        <v>40909</v>
      </c>
      <c r="Z36" s="4">
        <f>'(Intermediate Computations)'!AC74</f>
        <v>40940</v>
      </c>
      <c r="AA36" s="4">
        <f>'(Intermediate Computations)'!AD74</f>
        <v>40969</v>
      </c>
      <c r="AB36" s="4">
        <f>'(Intermediate Computations)'!AE74</f>
        <v>41000</v>
      </c>
      <c r="AC36" s="4">
        <f>'(Intermediate Computations)'!AF74</f>
        <v>41030</v>
      </c>
      <c r="AD36" s="4">
        <f>'(Intermediate Computations)'!AG74</f>
        <v>41061</v>
      </c>
      <c r="AE36" s="4">
        <f>'(Intermediate Computations)'!AH74</f>
        <v>41091</v>
      </c>
      <c r="AF36" s="4">
        <f>'(Intermediate Computations)'!AI74</f>
        <v>41122</v>
      </c>
      <c r="AG36" s="4">
        <f>'(Intermediate Computations)'!AJ74</f>
        <v>41153</v>
      </c>
      <c r="AH36" s="4">
        <f>'(Intermediate Computations)'!AK74</f>
        <v>41183</v>
      </c>
      <c r="AI36" s="4">
        <f>'(Intermediate Computations)'!AL74</f>
        <v>41214</v>
      </c>
      <c r="AJ36" s="4">
        <f>'(Intermediate Computations)'!AM74</f>
        <v>41244</v>
      </c>
      <c r="AK36" s="4">
        <f>'(Intermediate Computations)'!AO74</f>
        <v>41275</v>
      </c>
      <c r="AL36" s="4">
        <f>'(Intermediate Computations)'!AP74</f>
        <v>41306</v>
      </c>
      <c r="AM36" s="4">
        <f>'(Intermediate Computations)'!AQ74</f>
        <v>41334</v>
      </c>
      <c r="AN36" s="4">
        <f>'(Intermediate Computations)'!AR74</f>
        <v>41365</v>
      </c>
      <c r="AO36" s="4">
        <f>'(Intermediate Computations)'!AS74</f>
        <v>41395</v>
      </c>
      <c r="AP36" s="4">
        <f>'(Intermediate Computations)'!AT74</f>
        <v>41426</v>
      </c>
      <c r="AQ36" s="4">
        <f>'(Intermediate Computations)'!AU74</f>
        <v>41456</v>
      </c>
      <c r="AR36" s="4">
        <f>'(Intermediate Computations)'!AV74</f>
        <v>41487</v>
      </c>
      <c r="AS36" s="4">
        <f>'(Intermediate Computations)'!AW74</f>
        <v>41518</v>
      </c>
      <c r="AT36" s="4">
        <f>'(Intermediate Computations)'!AX74</f>
        <v>41548</v>
      </c>
      <c r="AU36" s="4">
        <f>'(Intermediate Computations)'!AY74</f>
        <v>41579</v>
      </c>
      <c r="AV36" s="4">
        <f>'(Intermediate Computations)'!AZ74</f>
        <v>41609</v>
      </c>
      <c r="AW36" s="4">
        <f>'(Intermediate Computations)'!BB74</f>
        <v>41640</v>
      </c>
      <c r="AX36" s="4">
        <f>'(Intermediate Computations)'!BC74</f>
        <v>41671</v>
      </c>
      <c r="AY36" s="4">
        <f>'(Intermediate Computations)'!BD74</f>
        <v>41699</v>
      </c>
      <c r="AZ36" s="4">
        <f>'(Intermediate Computations)'!BE74</f>
        <v>41730</v>
      </c>
      <c r="BA36" s="4">
        <f>'(Intermediate Computations)'!BF74</f>
        <v>41760</v>
      </c>
      <c r="BB36" s="4">
        <f>'(Intermediate Computations)'!BG74</f>
        <v>41791</v>
      </c>
      <c r="BC36" s="4">
        <f>'(Intermediate Computations)'!BH74</f>
        <v>41821</v>
      </c>
      <c r="BD36" s="4">
        <f>'(Intermediate Computations)'!BI74</f>
        <v>41852</v>
      </c>
      <c r="BE36" s="4">
        <f>'(Intermediate Computations)'!BJ74</f>
        <v>41883</v>
      </c>
      <c r="BF36" s="4">
        <f>'(Intermediate Computations)'!BK74</f>
        <v>41913</v>
      </c>
      <c r="BG36" s="4">
        <f>'(Intermediate Computations)'!BL74</f>
        <v>41944</v>
      </c>
      <c r="BH36" s="4">
        <f>'(Intermediate Computations)'!BM74</f>
        <v>41974</v>
      </c>
      <c r="BI36" s="4">
        <f>'(Intermediate Computations)'!BO74</f>
        <v>42005</v>
      </c>
      <c r="BJ36" s="4">
        <f>'(Intermediate Computations)'!BP74</f>
        <v>42036</v>
      </c>
      <c r="BK36" s="4">
        <f>'(Intermediate Computations)'!BQ74</f>
        <v>42064</v>
      </c>
      <c r="BL36" s="4">
        <f>'(Intermediate Computations)'!BR74</f>
        <v>42095</v>
      </c>
      <c r="BM36" s="4">
        <f>'(Intermediate Computations)'!BS74</f>
        <v>42125</v>
      </c>
      <c r="BN36" s="4">
        <f>'(Intermediate Computations)'!BT74</f>
        <v>42156</v>
      </c>
      <c r="BO36" s="4">
        <f>'(Intermediate Computations)'!BU74</f>
        <v>42186</v>
      </c>
      <c r="BP36" s="4">
        <f>'(Intermediate Computations)'!BV74</f>
        <v>42217</v>
      </c>
      <c r="BQ36" s="4">
        <f>'(Intermediate Computations)'!BW74</f>
        <v>42248</v>
      </c>
      <c r="BR36" s="4">
        <f>'(Intermediate Computations)'!BX74</f>
        <v>42278</v>
      </c>
      <c r="BS36" s="4">
        <f>'(Intermediate Computations)'!BY74</f>
        <v>42309</v>
      </c>
      <c r="BT36" s="4">
        <f>'(Intermediate Computations)'!BZ74</f>
        <v>42339</v>
      </c>
      <c r="BU36" s="4">
        <f>'(Intermediate Computations)'!CB74</f>
        <v>42370</v>
      </c>
      <c r="BV36" s="4">
        <f>'(Intermediate Computations)'!CC74</f>
        <v>42401</v>
      </c>
      <c r="BW36" s="4">
        <f>'(Intermediate Computations)'!CD74</f>
        <v>42430</v>
      </c>
      <c r="BX36" s="4">
        <f>'(Intermediate Computations)'!CE74</f>
        <v>42461</v>
      </c>
      <c r="BY36" s="4">
        <f>'(Intermediate Computations)'!CF74</f>
        <v>42491</v>
      </c>
      <c r="BZ36" s="4">
        <f>'(Intermediate Computations)'!CG74</f>
        <v>42522</v>
      </c>
      <c r="CA36" s="4">
        <f>'(Intermediate Computations)'!CH74</f>
        <v>42552</v>
      </c>
      <c r="CB36" s="4">
        <f>'(Intermediate Computations)'!CI74</f>
        <v>42583</v>
      </c>
      <c r="CC36" s="4">
        <f>'(Intermediate Computations)'!CJ74</f>
        <v>42614</v>
      </c>
      <c r="CD36" s="4">
        <f>'(Intermediate Computations)'!CK74</f>
        <v>42644</v>
      </c>
      <c r="CE36" s="4">
        <f>'(Intermediate Computations)'!CL74</f>
        <v>42675</v>
      </c>
      <c r="CF36" s="4">
        <f>'(Intermediate Computations)'!CM74</f>
        <v>42705</v>
      </c>
      <c r="CG36" s="4">
        <f>'(Intermediate Computations)'!CO74</f>
        <v>42736</v>
      </c>
      <c r="CH36" s="4">
        <f>'(Intermediate Computations)'!CP74</f>
        <v>42767</v>
      </c>
      <c r="CI36" s="4">
        <f>'(Intermediate Computations)'!CQ74</f>
        <v>42795</v>
      </c>
      <c r="CJ36" s="4">
        <f>'(Intermediate Computations)'!CR74</f>
        <v>42826</v>
      </c>
      <c r="CK36" s="4">
        <f>'(Intermediate Computations)'!CS74</f>
        <v>42856</v>
      </c>
      <c r="CL36" s="4">
        <f>'(Intermediate Computations)'!CT74</f>
        <v>42887</v>
      </c>
      <c r="CM36" s="4">
        <f>'(Intermediate Computations)'!CU74</f>
        <v>42917</v>
      </c>
      <c r="CN36" s="4">
        <f>'(Intermediate Computations)'!CV74</f>
        <v>42948</v>
      </c>
      <c r="CO36" s="4">
        <f>'(Intermediate Computations)'!CW74</f>
        <v>42979</v>
      </c>
      <c r="CP36" s="4">
        <f>'(Intermediate Computations)'!CX74</f>
        <v>43009</v>
      </c>
      <c r="CQ36" s="4">
        <f>'(Intermediate Computations)'!CY74</f>
        <v>43040</v>
      </c>
      <c r="CR36" s="4">
        <f>'(Intermediate Computations)'!CZ74</f>
        <v>43070</v>
      </c>
      <c r="CS36" s="4">
        <f>'(Intermediate Computations)'!DB74</f>
        <v>43101</v>
      </c>
      <c r="CT36" s="4">
        <f>'(Intermediate Computations)'!DC74</f>
        <v>43132</v>
      </c>
      <c r="CU36" s="4">
        <f>'(Intermediate Computations)'!DD74</f>
        <v>43160</v>
      </c>
      <c r="CV36" s="4">
        <f>'(Intermediate Computations)'!DE74</f>
        <v>43191</v>
      </c>
      <c r="CW36" s="4">
        <f>'(Intermediate Computations)'!DF74</f>
        <v>43221</v>
      </c>
      <c r="CX36" s="4">
        <f>'(Intermediate Computations)'!DG74</f>
        <v>43252</v>
      </c>
      <c r="CY36" s="4">
        <f>'(Intermediate Computations)'!DH74</f>
        <v>43282</v>
      </c>
      <c r="CZ36" s="4">
        <f>'(Intermediate Computations)'!DI74</f>
        <v>43313</v>
      </c>
      <c r="DA36" s="4">
        <f>'(Intermediate Computations)'!DJ74</f>
        <v>43344</v>
      </c>
      <c r="DB36" s="4">
        <f>'(Intermediate Computations)'!DK74</f>
        <v>43374</v>
      </c>
      <c r="DC36" s="4">
        <f>'(Intermediate Computations)'!DL74</f>
        <v>43405</v>
      </c>
      <c r="DD36" s="4">
        <f>'(Intermediate Computations)'!DM74</f>
        <v>43435</v>
      </c>
      <c r="DE36" s="4">
        <f>'(Intermediate Computations)'!DO74</f>
        <v>43466</v>
      </c>
      <c r="DF36" s="4">
        <f>'(Intermediate Computations)'!DP74</f>
        <v>43497</v>
      </c>
      <c r="DG36" s="4">
        <f>'(Intermediate Computations)'!DQ74</f>
        <v>43525</v>
      </c>
      <c r="DH36" s="4">
        <f>'(Intermediate Computations)'!DR74</f>
        <v>43556</v>
      </c>
      <c r="DI36" s="4">
        <f>'(Intermediate Computations)'!DS74</f>
        <v>43586</v>
      </c>
      <c r="DJ36" s="4">
        <f>'(Intermediate Computations)'!DT74</f>
        <v>43617</v>
      </c>
      <c r="DK36" s="4">
        <f>'(Intermediate Computations)'!DU74</f>
        <v>43647</v>
      </c>
      <c r="DL36" s="4">
        <f>'(Intermediate Computations)'!DV74</f>
        <v>43678</v>
      </c>
      <c r="DM36" s="4">
        <f>'(Intermediate Computations)'!DW74</f>
        <v>43709</v>
      </c>
      <c r="DN36" s="4">
        <f>'(Intermediate Computations)'!DX74</f>
        <v>43739</v>
      </c>
      <c r="DO36" s="4">
        <f>'(Intermediate Computations)'!DY74</f>
        <v>43770</v>
      </c>
      <c r="DP36" s="4">
        <f>'(Intermediate Computations)'!DZ74</f>
        <v>43800</v>
      </c>
      <c r="DQ36" s="4">
        <f>'(Intermediate Computations)'!EB74</f>
        <v>43831</v>
      </c>
      <c r="DR36" s="4">
        <f>'(Intermediate Computations)'!EC74</f>
        <v>43862</v>
      </c>
      <c r="DS36" s="4">
        <f>'(Intermediate Computations)'!ED74</f>
        <v>43891</v>
      </c>
      <c r="DT36" s="4">
        <f>'(Intermediate Computations)'!EE74</f>
        <v>43922</v>
      </c>
      <c r="DU36" s="4">
        <f>'(Intermediate Computations)'!EF74</f>
        <v>43952</v>
      </c>
      <c r="DV36" s="4">
        <f>'(Intermediate Computations)'!EG74</f>
        <v>43983</v>
      </c>
      <c r="DW36" s="4">
        <f>'(Intermediate Computations)'!EH74</f>
        <v>44013</v>
      </c>
      <c r="DX36" s="4">
        <f>'(Intermediate Computations)'!EI74</f>
        <v>44044</v>
      </c>
      <c r="DY36" s="4">
        <f>'(Intermediate Computations)'!EJ74</f>
        <v>44075</v>
      </c>
      <c r="DZ36" s="4">
        <f>'(Intermediate Computations)'!EK74</f>
        <v>44105</v>
      </c>
      <c r="EA36" s="4">
        <f>'(Intermediate Computations)'!EL74</f>
        <v>44136</v>
      </c>
      <c r="EB36" s="4">
        <f>'(Intermediate Computations)'!EM74</f>
        <v>44166</v>
      </c>
    </row>
    <row r="37" spans="1:132" ht="12.75" customHeight="1" x14ac:dyDescent="0.2">
      <c r="A37" s="57">
        <f>Demand!B11</f>
        <v>1166666.6666666667</v>
      </c>
      <c r="B37" s="57">
        <f ca="1">Demand!C11</f>
        <v>1166660.9443117965</v>
      </c>
      <c r="C37" s="57">
        <f ca="1">Demand!D11</f>
        <v>1166588.688954982</v>
      </c>
      <c r="D37" s="57">
        <f ca="1">Demand!E11</f>
        <v>1166699.7216007886</v>
      </c>
      <c r="E37" s="57">
        <f ca="1">Demand!F11</f>
        <v>1166831.1752552791</v>
      </c>
      <c r="F37" s="57">
        <f ca="1">Demand!G11</f>
        <v>1166706.6296269782</v>
      </c>
      <c r="G37" s="57">
        <f ca="1">Demand!H11</f>
        <v>1166721.5895455682</v>
      </c>
      <c r="H37" s="57">
        <f ca="1">Demand!I11</f>
        <v>1166699.1666334721</v>
      </c>
      <c r="I37" s="57">
        <f ca="1">Demand!J11</f>
        <v>1166719.4099115937</v>
      </c>
      <c r="J37" s="57">
        <f ca="1">Demand!K11</f>
        <v>1166773.841595266</v>
      </c>
      <c r="K37" s="57">
        <f ca="1">Demand!L11</f>
        <v>1166786.4363842865</v>
      </c>
      <c r="L37" s="57">
        <f ca="1">Demand!M11</f>
        <v>1166820.5321596761</v>
      </c>
      <c r="M37" s="57">
        <f ca="1">Demand!O11</f>
        <v>1166860.3364435171</v>
      </c>
      <c r="N37" s="57">
        <f ca="1">Demand!P11</f>
        <v>1166820.6060289128</v>
      </c>
      <c r="O37" s="57">
        <f ca="1">Demand!Q11</f>
        <v>1166934.4119268681</v>
      </c>
      <c r="P37" s="57">
        <f ca="1">Demand!R11</f>
        <v>1166845.4517069703</v>
      </c>
      <c r="Q37" s="57">
        <f ca="1">Demand!S11</f>
        <v>1166919.6060780513</v>
      </c>
      <c r="R37" s="57">
        <f ca="1">Demand!T11</f>
        <v>1167038.4399740007</v>
      </c>
      <c r="S37" s="57">
        <f ca="1">Demand!U11</f>
        <v>1167176.1941335958</v>
      </c>
      <c r="T37" s="57">
        <f ca="1">Demand!V11</f>
        <v>1167035.2588879678</v>
      </c>
      <c r="U37" s="57">
        <f ca="1">Demand!W11</f>
        <v>1167048.4926369463</v>
      </c>
      <c r="V37" s="57">
        <f ca="1">Demand!X11</f>
        <v>1167145.3959361946</v>
      </c>
      <c r="W37" s="57">
        <f ca="1">Demand!Y11</f>
        <v>1167021.6621712651</v>
      </c>
      <c r="X37" s="57">
        <f ca="1">Demand!Z11</f>
        <v>1167065.393708877</v>
      </c>
      <c r="Y37" s="57">
        <f ca="1">Demand!AB11</f>
        <v>1167064.3613268093</v>
      </c>
      <c r="Z37" s="57">
        <f ca="1">Demand!AC11</f>
        <v>1167134.8854115477</v>
      </c>
      <c r="AA37" s="57">
        <f ca="1">Demand!AD11</f>
        <v>1167222.4086770022</v>
      </c>
      <c r="AB37" s="57">
        <f ca="1">Demand!AE11</f>
        <v>1167265.7783369226</v>
      </c>
      <c r="AC37" s="57">
        <f ca="1">Demand!AF11</f>
        <v>1167364.3035632041</v>
      </c>
      <c r="AD37" s="57">
        <f ca="1">Demand!AG11</f>
        <v>1167462.7107883003</v>
      </c>
      <c r="AE37" s="57">
        <f ca="1">Demand!AH11</f>
        <v>1167450.4695259004</v>
      </c>
      <c r="AF37" s="57">
        <f ca="1">Demand!AI11</f>
        <v>1167410.6123635215</v>
      </c>
      <c r="AG37" s="57">
        <f ca="1">Demand!AJ11</f>
        <v>1167366.0673426897</v>
      </c>
      <c r="AH37" s="57">
        <f ca="1">Demand!AK11</f>
        <v>1167445.8912734676</v>
      </c>
      <c r="AI37" s="57">
        <f ca="1">Demand!AL11</f>
        <v>1167367.2191586255</v>
      </c>
      <c r="AJ37" s="57">
        <f ca="1">Demand!AM11</f>
        <v>1167370.754810377</v>
      </c>
      <c r="AK37" s="57">
        <f ca="1">Demand!AO11</f>
        <v>1167340.5593121971</v>
      </c>
      <c r="AL37" s="57">
        <f ca="1">Demand!AP11</f>
        <v>1167329.1311637023</v>
      </c>
      <c r="AM37" s="57">
        <f ca="1">Demand!AQ11</f>
        <v>1167332.8259429326</v>
      </c>
      <c r="AN37" s="57">
        <f ca="1">Demand!AR11</f>
        <v>1167245.4323364829</v>
      </c>
      <c r="AO37" s="57">
        <f ca="1">Demand!AS11</f>
        <v>1167277.7657047685</v>
      </c>
      <c r="AP37" s="57">
        <f ca="1">Demand!AT11</f>
        <v>1167257.7095732973</v>
      </c>
      <c r="AQ37" s="57">
        <f ca="1">Demand!AU11</f>
        <v>1167299.0338677703</v>
      </c>
      <c r="AR37" s="57">
        <f ca="1">Demand!AV11</f>
        <v>1167351.404390041</v>
      </c>
      <c r="AS37" s="57">
        <f ca="1">Demand!AW11</f>
        <v>1167369.6701807529</v>
      </c>
      <c r="AT37" s="57">
        <f ca="1">Demand!AX11</f>
        <v>1167490.2534745848</v>
      </c>
      <c r="AU37" s="57">
        <f ca="1">Demand!AY11</f>
        <v>1167421.843087309</v>
      </c>
      <c r="AV37" s="57">
        <f ca="1">Demand!AZ11</f>
        <v>1167339.9827121736</v>
      </c>
      <c r="AW37" s="57">
        <f ca="1">Demand!BB11</f>
        <v>1167453.0707740844</v>
      </c>
      <c r="AX37" s="57">
        <f ca="1">Demand!BC11</f>
        <v>1167575.2856083366</v>
      </c>
      <c r="AY37" s="57">
        <f ca="1">Demand!BD11</f>
        <v>1167510.9634007891</v>
      </c>
      <c r="AZ37" s="57">
        <f ca="1">Demand!BE11</f>
        <v>1167448.3826074521</v>
      </c>
      <c r="BA37" s="57">
        <f ca="1">Demand!BF11</f>
        <v>1167477.3273024871</v>
      </c>
      <c r="BB37" s="57">
        <f ca="1">Demand!BG11</f>
        <v>1167386.891819837</v>
      </c>
      <c r="BC37" s="57">
        <f ca="1">Demand!BH11</f>
        <v>1167338.7053560738</v>
      </c>
      <c r="BD37" s="57">
        <f ca="1">Demand!BI11</f>
        <v>1167331.9881596041</v>
      </c>
      <c r="BE37" s="57">
        <f ca="1">Demand!BJ11</f>
        <v>1167288.0980307001</v>
      </c>
      <c r="BF37" s="57">
        <f ca="1">Demand!BK11</f>
        <v>1167402.3406042908</v>
      </c>
      <c r="BG37" s="57">
        <f ca="1">Demand!BL11</f>
        <v>1167336.0964430843</v>
      </c>
      <c r="BH37" s="57">
        <f ca="1">Demand!BM11</f>
        <v>1167443.9536471502</v>
      </c>
      <c r="BI37" s="57">
        <f ca="1">Demand!BO11</f>
        <v>1167330.3207480686</v>
      </c>
      <c r="BJ37" s="57">
        <f ca="1">Demand!BP11</f>
        <v>1167408.661667356</v>
      </c>
      <c r="BK37" s="57">
        <f ca="1">Demand!BQ11</f>
        <v>1167523.7853354882</v>
      </c>
      <c r="BL37" s="57">
        <f ca="1">Demand!BR11</f>
        <v>1167508.8941028821</v>
      </c>
      <c r="BM37" s="57">
        <f ca="1">Demand!BS11</f>
        <v>1167442.7009817383</v>
      </c>
      <c r="BN37" s="57">
        <f ca="1">Demand!BT11</f>
        <v>1167585.1899334812</v>
      </c>
      <c r="BO37" s="57">
        <f ca="1">Demand!BU11</f>
        <v>1167516.6538725996</v>
      </c>
      <c r="BP37" s="57">
        <f ca="1">Demand!BV11</f>
        <v>1167601.7345477287</v>
      </c>
      <c r="BQ37" s="57">
        <f ca="1">Demand!BW11</f>
        <v>1167649.4946650618</v>
      </c>
      <c r="BR37" s="57">
        <f ca="1">Demand!BX11</f>
        <v>1167754.8170220449</v>
      </c>
      <c r="BS37" s="57">
        <f ca="1">Demand!BY11</f>
        <v>1167735.1741145703</v>
      </c>
      <c r="BT37" s="57">
        <f ca="1">Demand!BZ11</f>
        <v>1167645.832744909</v>
      </c>
      <c r="BU37" s="57">
        <f ca="1">Demand!CB11</f>
        <v>1167662.6822230082</v>
      </c>
      <c r="BV37" s="57">
        <f ca="1">Demand!CC11</f>
        <v>1167630.9506386905</v>
      </c>
      <c r="BW37" s="57">
        <f ca="1">Demand!CD11</f>
        <v>1167595.16451834</v>
      </c>
      <c r="BX37" s="57">
        <f ca="1">Demand!CE11</f>
        <v>1167563.2996224023</v>
      </c>
      <c r="BY37" s="57">
        <f ca="1">Demand!CF11</f>
        <v>1167546.2838727552</v>
      </c>
      <c r="BZ37" s="57">
        <f ca="1">Demand!CG11</f>
        <v>1167606.9380141348</v>
      </c>
      <c r="CA37" s="57">
        <f ca="1">Demand!CH11</f>
        <v>1167562.840181137</v>
      </c>
      <c r="CB37" s="57">
        <f ca="1">Demand!CI11</f>
        <v>1167493.9047480936</v>
      </c>
      <c r="CC37" s="57">
        <f ca="1">Demand!CJ11</f>
        <v>1167418.7962971111</v>
      </c>
      <c r="CD37" s="57">
        <f ca="1">Demand!CK11</f>
        <v>1167411.79894168</v>
      </c>
      <c r="CE37" s="57">
        <f ca="1">Demand!CL11</f>
        <v>1167330.2548944422</v>
      </c>
      <c r="CF37" s="57">
        <f ca="1">Demand!CM11</f>
        <v>1167395.7206533011</v>
      </c>
      <c r="CG37" s="57">
        <f ca="1">Demand!CO11</f>
        <v>1167430.6308555817</v>
      </c>
      <c r="CH37" s="57">
        <f ca="1">Demand!CP11</f>
        <v>1167333.0146690141</v>
      </c>
      <c r="CI37" s="57">
        <f ca="1">Demand!CQ11</f>
        <v>1167224.3262847911</v>
      </c>
      <c r="CJ37" s="57">
        <f ca="1">Demand!CR11</f>
        <v>1167161.6730291068</v>
      </c>
      <c r="CK37" s="57">
        <f ca="1">Demand!CS11</f>
        <v>1167126.7492489438</v>
      </c>
      <c r="CL37" s="57">
        <f ca="1">Demand!CT11</f>
        <v>1167082.3311101357</v>
      </c>
      <c r="CM37" s="57">
        <f ca="1">Demand!CU11</f>
        <v>1167076.4508727787</v>
      </c>
      <c r="CN37" s="57">
        <f ca="1">Demand!CV11</f>
        <v>1167143.6174623156</v>
      </c>
      <c r="CO37" s="57">
        <f ca="1">Demand!CW11</f>
        <v>1167183.3531492963</v>
      </c>
      <c r="CP37" s="57">
        <f ca="1">Demand!CX11</f>
        <v>1167234.3522021093</v>
      </c>
      <c r="CQ37" s="57">
        <f ca="1">Demand!CY11</f>
        <v>1167197.7229215314</v>
      </c>
      <c r="CR37" s="57">
        <f ca="1">Demand!CZ11</f>
        <v>1167199.7226771805</v>
      </c>
      <c r="CS37" s="57">
        <f ca="1">Demand!DB11</f>
        <v>1167281.7004665311</v>
      </c>
      <c r="CT37" s="57">
        <f ca="1">Demand!DC11</f>
        <v>1167315.0661444643</v>
      </c>
      <c r="CU37" s="57">
        <f ca="1">Demand!DD11</f>
        <v>1167344.7446068446</v>
      </c>
      <c r="CV37" s="57">
        <f ca="1">Demand!DE11</f>
        <v>1167229.08945688</v>
      </c>
      <c r="CW37" s="57">
        <f ca="1">Demand!DF11</f>
        <v>1167125.3854885036</v>
      </c>
      <c r="CX37" s="57">
        <f ca="1">Demand!DG11</f>
        <v>1167094.0080481071</v>
      </c>
      <c r="CY37" s="57">
        <f ca="1">Demand!DH11</f>
        <v>1167115.6406760584</v>
      </c>
      <c r="CZ37" s="57">
        <f ca="1">Demand!DI11</f>
        <v>1167042.8672465973</v>
      </c>
      <c r="DA37" s="57">
        <f ca="1">Demand!DJ11</f>
        <v>1166973.3142607231</v>
      </c>
      <c r="DB37" s="57">
        <f ca="1">Demand!DK11</f>
        <v>1166993.5160019782</v>
      </c>
      <c r="DC37" s="57">
        <f ca="1">Demand!DL11</f>
        <v>1167007.128121021</v>
      </c>
      <c r="DD37" s="57">
        <f ca="1">Demand!DM11</f>
        <v>1167064.5309570327</v>
      </c>
      <c r="DE37" s="57">
        <f ca="1">Demand!DO11</f>
        <v>1166923.658346226</v>
      </c>
      <c r="DF37" s="57">
        <f ca="1">Demand!DP11</f>
        <v>1166958.2368575516</v>
      </c>
      <c r="DG37" s="57">
        <f ca="1">Demand!DQ11</f>
        <v>1166911.3774046167</v>
      </c>
      <c r="DH37" s="57">
        <f ca="1">Demand!DR11</f>
        <v>1166830.0923762664</v>
      </c>
      <c r="DI37" s="57">
        <f ca="1">Demand!DS11</f>
        <v>1166891.0235087452</v>
      </c>
      <c r="DJ37" s="57">
        <f ca="1">Demand!DT11</f>
        <v>1166883.8088975896</v>
      </c>
      <c r="DK37" s="57">
        <f ca="1">Demand!DU11</f>
        <v>1166788.2699279326</v>
      </c>
      <c r="DL37" s="57">
        <f ca="1">Demand!DV11</f>
        <v>1166885.916965124</v>
      </c>
      <c r="DM37" s="57">
        <f ca="1">Demand!DW11</f>
        <v>1166926.3476284116</v>
      </c>
      <c r="DN37" s="57">
        <f ca="1">Demand!DX11</f>
        <v>1166824.9714467528</v>
      </c>
      <c r="DO37" s="57">
        <f ca="1">Demand!DY11</f>
        <v>1166857.1231013688</v>
      </c>
      <c r="DP37" s="57">
        <f ca="1">Demand!DZ11</f>
        <v>1166870.0359221818</v>
      </c>
      <c r="DQ37" s="57">
        <f ca="1">Demand!EB11</f>
        <v>1166950.8750552272</v>
      </c>
      <c r="DR37" s="57">
        <f ca="1">Demand!EC11</f>
        <v>1166844.9985532342</v>
      </c>
      <c r="DS37" s="57">
        <f ca="1">Demand!ED11</f>
        <v>1166748.8394477686</v>
      </c>
      <c r="DT37" s="57">
        <f ca="1">Demand!EE11</f>
        <v>1166778.3240163624</v>
      </c>
      <c r="DU37" s="57">
        <f ca="1">Demand!EF11</f>
        <v>1166690.4461983321</v>
      </c>
      <c r="DV37" s="57">
        <f ca="1">Demand!EG11</f>
        <v>1166790.7417192149</v>
      </c>
      <c r="DW37" s="57">
        <f ca="1">Demand!EH11</f>
        <v>1166754.0091810594</v>
      </c>
      <c r="DX37" s="57">
        <f ca="1">Demand!EI11</f>
        <v>1166622.6738064315</v>
      </c>
      <c r="DY37" s="57">
        <f ca="1">Demand!EJ11</f>
        <v>1166648.3318518072</v>
      </c>
      <c r="DZ37" s="57">
        <f ca="1">Demand!EK11</f>
        <v>1166520.9046510514</v>
      </c>
      <c r="EA37" s="57">
        <f ca="1">Demand!EL11</f>
        <v>1166601.2738931836</v>
      </c>
      <c r="EB37" s="57">
        <f ca="1">Demand!EM11</f>
        <v>1166571.3585445834</v>
      </c>
    </row>
    <row r="38" spans="1:132" ht="12.75" customHeight="1" x14ac:dyDescent="0.2">
      <c r="A38" s="4" t="str">
        <f>'(Intermediate Computations)'!B83</f>
        <v>MMM 2010</v>
      </c>
      <c r="B38" s="4" t="str">
        <f>'(Intermediate Computations)'!C83</f>
        <v>MMM 2010</v>
      </c>
      <c r="C38" s="4" t="str">
        <f>'(Intermediate Computations)'!D83</f>
        <v>MMM 2010</v>
      </c>
      <c r="D38" s="4" t="str">
        <f>'(Intermediate Computations)'!E83</f>
        <v>MMM 2010</v>
      </c>
      <c r="E38" s="4" t="str">
        <f>'(Intermediate Computations)'!F83</f>
        <v>MMM 2010</v>
      </c>
      <c r="F38" s="4" t="str">
        <f>'(Intermediate Computations)'!G83</f>
        <v>MMM 2010</v>
      </c>
      <c r="G38" s="4" t="str">
        <f>'(Intermediate Computations)'!H83</f>
        <v>MMM 2010</v>
      </c>
      <c r="H38" s="4" t="str">
        <f>'(Intermediate Computations)'!I83</f>
        <v>MMM 2010</v>
      </c>
      <c r="I38" s="4" t="str">
        <f>'(Intermediate Computations)'!J83</f>
        <v>MMM 2010</v>
      </c>
      <c r="J38" s="4" t="str">
        <f>'(Intermediate Computations)'!K83</f>
        <v>MMM 2010</v>
      </c>
      <c r="K38" s="4" t="str">
        <f>'(Intermediate Computations)'!L83</f>
        <v>MMM 2010</v>
      </c>
      <c r="L38" s="4" t="str">
        <f>'(Intermediate Computations)'!M83</f>
        <v>MMM 2010</v>
      </c>
      <c r="M38" s="4" t="str">
        <f>'(Intermediate Computations)'!O83</f>
        <v>MMM 2011</v>
      </c>
      <c r="N38" s="4" t="str">
        <f>'(Intermediate Computations)'!P83</f>
        <v>MMM 2011</v>
      </c>
      <c r="O38" s="4" t="str">
        <f>'(Intermediate Computations)'!Q83</f>
        <v>MMM 2011</v>
      </c>
      <c r="P38" s="4" t="str">
        <f>'(Intermediate Computations)'!R83</f>
        <v>MMM 2011</v>
      </c>
      <c r="Q38" s="4" t="str">
        <f>'(Intermediate Computations)'!S83</f>
        <v>MMM 2011</v>
      </c>
      <c r="R38" s="4" t="str">
        <f>'(Intermediate Computations)'!T83</f>
        <v>MMM 2011</v>
      </c>
      <c r="S38" s="4" t="str">
        <f>'(Intermediate Computations)'!U83</f>
        <v>MMM 2011</v>
      </c>
      <c r="T38" s="4" t="str">
        <f>'(Intermediate Computations)'!V83</f>
        <v>MMM 2011</v>
      </c>
      <c r="U38" s="4" t="str">
        <f>'(Intermediate Computations)'!W83</f>
        <v>MMM 2011</v>
      </c>
      <c r="V38" s="4" t="str">
        <f>'(Intermediate Computations)'!X83</f>
        <v>MMM 2011</v>
      </c>
      <c r="W38" s="4" t="str">
        <f>'(Intermediate Computations)'!Y83</f>
        <v>MMM 2011</v>
      </c>
      <c r="X38" s="4" t="str">
        <f>'(Intermediate Computations)'!Z83</f>
        <v>MMM 2011</v>
      </c>
      <c r="Y38" s="4" t="str">
        <f>'(Intermediate Computations)'!AB83</f>
        <v>MMM 2012</v>
      </c>
      <c r="Z38" s="4" t="str">
        <f>'(Intermediate Computations)'!AC83</f>
        <v>MMM 2012</v>
      </c>
      <c r="AA38" s="4" t="str">
        <f>'(Intermediate Computations)'!AD83</f>
        <v>MMM 2012</v>
      </c>
      <c r="AB38" s="4" t="str">
        <f>'(Intermediate Computations)'!AE83</f>
        <v>MMM 2012</v>
      </c>
      <c r="AC38" s="4" t="str">
        <f>'(Intermediate Computations)'!AF83</f>
        <v>MMM 2012</v>
      </c>
      <c r="AD38" s="4" t="str">
        <f>'(Intermediate Computations)'!AG83</f>
        <v>MMM 2012</v>
      </c>
      <c r="AE38" s="4" t="str">
        <f>'(Intermediate Computations)'!AH83</f>
        <v>MMM 2012</v>
      </c>
      <c r="AF38" s="4" t="str">
        <f>'(Intermediate Computations)'!AI83</f>
        <v>MMM 2012</v>
      </c>
      <c r="AG38" s="4" t="str">
        <f>'(Intermediate Computations)'!AJ83</f>
        <v>MMM 2012</v>
      </c>
      <c r="AH38" s="4" t="str">
        <f>'(Intermediate Computations)'!AK83</f>
        <v>MMM 2012</v>
      </c>
      <c r="AI38" s="4" t="str">
        <f>'(Intermediate Computations)'!AL83</f>
        <v>MMM 2012</v>
      </c>
      <c r="AJ38" s="4" t="str">
        <f>'(Intermediate Computations)'!AM83</f>
        <v>MMM 2012</v>
      </c>
      <c r="AK38" s="4" t="str">
        <f>'(Intermediate Computations)'!AO83</f>
        <v>MMM 2013</v>
      </c>
      <c r="AL38" s="4" t="str">
        <f>'(Intermediate Computations)'!AP83</f>
        <v>MMM 2013</v>
      </c>
      <c r="AM38" s="4" t="str">
        <f>'(Intermediate Computations)'!AQ83</f>
        <v>MMM 2013</v>
      </c>
      <c r="AN38" s="4" t="str">
        <f>'(Intermediate Computations)'!AR83</f>
        <v>MMM 2013</v>
      </c>
      <c r="AO38" s="4" t="str">
        <f>'(Intermediate Computations)'!AS83</f>
        <v>MMM 2013</v>
      </c>
      <c r="AP38" s="4" t="str">
        <f>'(Intermediate Computations)'!AT83</f>
        <v>MMM 2013</v>
      </c>
      <c r="AQ38" s="4" t="str">
        <f>'(Intermediate Computations)'!AU83</f>
        <v>MMM 2013</v>
      </c>
      <c r="AR38" s="4" t="str">
        <f>'(Intermediate Computations)'!AV83</f>
        <v>MMM 2013</v>
      </c>
      <c r="AS38" s="4" t="str">
        <f>'(Intermediate Computations)'!AW83</f>
        <v>MMM 2013</v>
      </c>
      <c r="AT38" s="4" t="str">
        <f>'(Intermediate Computations)'!AX83</f>
        <v>MMM 2013</v>
      </c>
      <c r="AU38" s="4" t="str">
        <f>'(Intermediate Computations)'!AY83</f>
        <v>MMM 2013</v>
      </c>
      <c r="AV38" s="4" t="str">
        <f>'(Intermediate Computations)'!AZ83</f>
        <v>MMM 2013</v>
      </c>
      <c r="AW38" s="4" t="str">
        <f>'(Intermediate Computations)'!BB83</f>
        <v>MMM 2014</v>
      </c>
      <c r="AX38" s="4" t="str">
        <f>'(Intermediate Computations)'!BC83</f>
        <v>MMM 2014</v>
      </c>
      <c r="AY38" s="4" t="str">
        <f>'(Intermediate Computations)'!BD83</f>
        <v>MMM 2014</v>
      </c>
      <c r="AZ38" s="4" t="str">
        <f>'(Intermediate Computations)'!BE83</f>
        <v>MMM 2014</v>
      </c>
      <c r="BA38" s="4" t="str">
        <f>'(Intermediate Computations)'!BF83</f>
        <v>MMM 2014</v>
      </c>
      <c r="BB38" s="4" t="str">
        <f>'(Intermediate Computations)'!BG83</f>
        <v>MMM 2014</v>
      </c>
      <c r="BC38" s="4" t="str">
        <f>'(Intermediate Computations)'!BH83</f>
        <v>MMM 2014</v>
      </c>
      <c r="BD38" s="4" t="str">
        <f>'(Intermediate Computations)'!BI83</f>
        <v>MMM 2014</v>
      </c>
      <c r="BE38" s="4" t="str">
        <f>'(Intermediate Computations)'!BJ83</f>
        <v>MMM 2014</v>
      </c>
      <c r="BF38" s="4" t="str">
        <f>'(Intermediate Computations)'!BK83</f>
        <v>MMM 2014</v>
      </c>
      <c r="BG38" s="4" t="str">
        <f>'(Intermediate Computations)'!BL83</f>
        <v>MMM 2014</v>
      </c>
      <c r="BH38" s="4" t="str">
        <f>'(Intermediate Computations)'!BM83</f>
        <v>MMM 2014</v>
      </c>
      <c r="BI38" s="4" t="str">
        <f>'(Intermediate Computations)'!BO83</f>
        <v>MMM 2015</v>
      </c>
      <c r="BJ38" s="4" t="str">
        <f>'(Intermediate Computations)'!BP83</f>
        <v>MMM 2015</v>
      </c>
      <c r="BK38" s="4" t="str">
        <f>'(Intermediate Computations)'!BQ83</f>
        <v>MMM 2015</v>
      </c>
      <c r="BL38" s="4" t="str">
        <f>'(Intermediate Computations)'!BR83</f>
        <v>MMM 2015</v>
      </c>
      <c r="BM38" s="4" t="str">
        <f>'(Intermediate Computations)'!BS83</f>
        <v>MMM 2015</v>
      </c>
      <c r="BN38" s="4" t="str">
        <f>'(Intermediate Computations)'!BT83</f>
        <v>MMM 2015</v>
      </c>
      <c r="BO38" s="4" t="str">
        <f>'(Intermediate Computations)'!BU83</f>
        <v>MMM 2015</v>
      </c>
      <c r="BP38" s="4" t="str">
        <f>'(Intermediate Computations)'!BV83</f>
        <v>MMM 2015</v>
      </c>
      <c r="BQ38" s="4" t="str">
        <f>'(Intermediate Computations)'!BW83</f>
        <v>MMM 2015</v>
      </c>
      <c r="BR38" s="4" t="str">
        <f>'(Intermediate Computations)'!BX83</f>
        <v>MMM 2015</v>
      </c>
      <c r="BS38" s="4" t="str">
        <f>'(Intermediate Computations)'!BY83</f>
        <v>MMM 2015</v>
      </c>
      <c r="BT38" s="4" t="str">
        <f>'(Intermediate Computations)'!BZ83</f>
        <v>MMM 2015</v>
      </c>
      <c r="BU38" s="4" t="str">
        <f>'(Intermediate Computations)'!CB83</f>
        <v>MMM 2016</v>
      </c>
      <c r="BV38" s="4" t="str">
        <f>'(Intermediate Computations)'!CC83</f>
        <v>MMM 2016</v>
      </c>
      <c r="BW38" s="4" t="str">
        <f>'(Intermediate Computations)'!CD83</f>
        <v>MMM 2016</v>
      </c>
      <c r="BX38" s="4" t="str">
        <f>'(Intermediate Computations)'!CE83</f>
        <v>MMM 2016</v>
      </c>
      <c r="BY38" s="4" t="str">
        <f>'(Intermediate Computations)'!CF83</f>
        <v>MMM 2016</v>
      </c>
      <c r="BZ38" s="4" t="str">
        <f>'(Intermediate Computations)'!CG83</f>
        <v>MMM 2016</v>
      </c>
      <c r="CA38" s="4" t="str">
        <f>'(Intermediate Computations)'!CH83</f>
        <v>MMM 2016</v>
      </c>
      <c r="CB38" s="4" t="str">
        <f>'(Intermediate Computations)'!CI83</f>
        <v>MMM 2016</v>
      </c>
      <c r="CC38" s="4" t="str">
        <f>'(Intermediate Computations)'!CJ83</f>
        <v>MMM 2016</v>
      </c>
      <c r="CD38" s="4" t="str">
        <f>'(Intermediate Computations)'!CK83</f>
        <v>MMM 2016</v>
      </c>
      <c r="CE38" s="4" t="str">
        <f>'(Intermediate Computations)'!CL83</f>
        <v>MMM 2016</v>
      </c>
      <c r="CF38" s="4" t="str">
        <f>'(Intermediate Computations)'!CM83</f>
        <v>MMM 2016</v>
      </c>
      <c r="CG38" s="4" t="str">
        <f>'(Intermediate Computations)'!CO83</f>
        <v>MMM 2017</v>
      </c>
      <c r="CH38" s="4" t="str">
        <f>'(Intermediate Computations)'!CP83</f>
        <v>MMM 2017</v>
      </c>
      <c r="CI38" s="4" t="str">
        <f>'(Intermediate Computations)'!CQ83</f>
        <v>MMM 2017</v>
      </c>
      <c r="CJ38" s="4" t="str">
        <f>'(Intermediate Computations)'!CR83</f>
        <v>MMM 2017</v>
      </c>
      <c r="CK38" s="4" t="str">
        <f>'(Intermediate Computations)'!CS83</f>
        <v>MMM 2017</v>
      </c>
      <c r="CL38" s="4" t="str">
        <f>'(Intermediate Computations)'!CT83</f>
        <v>MMM 2017</v>
      </c>
      <c r="CM38" s="4" t="str">
        <f>'(Intermediate Computations)'!CU83</f>
        <v>MMM 2017</v>
      </c>
      <c r="CN38" s="4" t="str">
        <f>'(Intermediate Computations)'!CV83</f>
        <v>MMM 2017</v>
      </c>
      <c r="CO38" s="4" t="str">
        <f>'(Intermediate Computations)'!CW83</f>
        <v>MMM 2017</v>
      </c>
      <c r="CP38" s="4" t="str">
        <f>'(Intermediate Computations)'!CX83</f>
        <v>MMM 2017</v>
      </c>
      <c r="CQ38" s="4" t="str">
        <f>'(Intermediate Computations)'!CY83</f>
        <v>MMM 2017</v>
      </c>
      <c r="CR38" s="4" t="str">
        <f>'(Intermediate Computations)'!CZ83</f>
        <v>MMM 2017</v>
      </c>
      <c r="CS38" s="4" t="str">
        <f>'(Intermediate Computations)'!DB83</f>
        <v>MMM 2018</v>
      </c>
      <c r="CT38" s="4" t="str">
        <f>'(Intermediate Computations)'!DC83</f>
        <v>MMM 2018</v>
      </c>
      <c r="CU38" s="4" t="str">
        <f>'(Intermediate Computations)'!DD83</f>
        <v>MMM 2018</v>
      </c>
      <c r="CV38" s="4" t="str">
        <f>'(Intermediate Computations)'!DE83</f>
        <v>MMM 2018</v>
      </c>
      <c r="CW38" s="4" t="str">
        <f>'(Intermediate Computations)'!DF83</f>
        <v>MMM 2018</v>
      </c>
      <c r="CX38" s="4" t="str">
        <f>'(Intermediate Computations)'!DG83</f>
        <v>MMM 2018</v>
      </c>
      <c r="CY38" s="4" t="str">
        <f>'(Intermediate Computations)'!DH83</f>
        <v>MMM 2018</v>
      </c>
      <c r="CZ38" s="4" t="str">
        <f>'(Intermediate Computations)'!DI83</f>
        <v>MMM 2018</v>
      </c>
      <c r="DA38" s="4" t="str">
        <f>'(Intermediate Computations)'!DJ83</f>
        <v>MMM 2018</v>
      </c>
      <c r="DB38" s="4" t="str">
        <f>'(Intermediate Computations)'!DK83</f>
        <v>MMM 2018</v>
      </c>
      <c r="DC38" s="4" t="str">
        <f>'(Intermediate Computations)'!DL83</f>
        <v>MMM 2018</v>
      </c>
      <c r="DD38" s="4" t="str">
        <f>'(Intermediate Computations)'!DM83</f>
        <v>MMM 2018</v>
      </c>
      <c r="DE38" s="4" t="str">
        <f>'(Intermediate Computations)'!DO83</f>
        <v>MMM 2019</v>
      </c>
      <c r="DF38" s="4" t="str">
        <f>'(Intermediate Computations)'!DP83</f>
        <v>MMM 2019</v>
      </c>
      <c r="DG38" s="4" t="str">
        <f>'(Intermediate Computations)'!DQ83</f>
        <v>MMM 2019</v>
      </c>
      <c r="DH38" s="4" t="str">
        <f>'(Intermediate Computations)'!DR83</f>
        <v>MMM 2019</v>
      </c>
      <c r="DI38" s="4" t="str">
        <f>'(Intermediate Computations)'!DS83</f>
        <v>MMM 2019</v>
      </c>
      <c r="DJ38" s="4" t="str">
        <f>'(Intermediate Computations)'!DT83</f>
        <v>MMM 2019</v>
      </c>
      <c r="DK38" s="4" t="str">
        <f>'(Intermediate Computations)'!DU83</f>
        <v>MMM 2019</v>
      </c>
      <c r="DL38" s="4" t="str">
        <f>'(Intermediate Computations)'!DV83</f>
        <v>MMM 2019</v>
      </c>
      <c r="DM38" s="4" t="str">
        <f>'(Intermediate Computations)'!DW83</f>
        <v>MMM 2019</v>
      </c>
      <c r="DN38" s="4" t="str">
        <f>'(Intermediate Computations)'!DX83</f>
        <v>MMM 2019</v>
      </c>
      <c r="DO38" s="4" t="str">
        <f>'(Intermediate Computations)'!DY83</f>
        <v>MMM 2019</v>
      </c>
      <c r="DP38" s="4" t="str">
        <f>'(Intermediate Computations)'!DZ83</f>
        <v>MMM 2019</v>
      </c>
      <c r="DQ38" s="4" t="str">
        <f>'(Intermediate Computations)'!EB83</f>
        <v>MMM 2020</v>
      </c>
      <c r="DR38" s="4" t="str">
        <f>'(Intermediate Computations)'!EC83</f>
        <v>MMM 2020</v>
      </c>
      <c r="DS38" s="4" t="str">
        <f>'(Intermediate Computations)'!ED83</f>
        <v>MMM 2020</v>
      </c>
      <c r="DT38" s="4" t="str">
        <f>'(Intermediate Computations)'!EE83</f>
        <v>MMM 2020</v>
      </c>
      <c r="DU38" s="4" t="str">
        <f>'(Intermediate Computations)'!EF83</f>
        <v>MMM 2020</v>
      </c>
      <c r="DV38" s="4" t="str">
        <f>'(Intermediate Computations)'!EG83</f>
        <v>MMM 2020</v>
      </c>
      <c r="DW38" s="4" t="str">
        <f>'(Intermediate Computations)'!EH83</f>
        <v>MMM 2020</v>
      </c>
      <c r="DX38" s="4" t="str">
        <f>'(Intermediate Computations)'!EI83</f>
        <v>MMM 2020</v>
      </c>
      <c r="DY38" s="4" t="str">
        <f>'(Intermediate Computations)'!EJ83</f>
        <v>MMM 2020</v>
      </c>
      <c r="DZ38" s="4" t="str">
        <f>'(Intermediate Computations)'!EK83</f>
        <v>MMM 2020</v>
      </c>
      <c r="EA38" s="4" t="str">
        <f>'(Intermediate Computations)'!EL83</f>
        <v>MMM 2020</v>
      </c>
      <c r="EB38" s="4" t="str">
        <f>'(Intermediate Computations)'!EM83</f>
        <v>MMM 2020</v>
      </c>
    </row>
    <row r="39" spans="1:132" ht="12.75" customHeight="1" x14ac:dyDescent="0.2">
      <c r="A39" s="4">
        <f>'(Intermediate Computations)'!B80</f>
        <v>40179</v>
      </c>
      <c r="B39" s="4">
        <f>'(Intermediate Computations)'!C80</f>
        <v>40210</v>
      </c>
      <c r="C39" s="4">
        <f>'(Intermediate Computations)'!D80</f>
        <v>40238</v>
      </c>
      <c r="D39" s="4">
        <f>'(Intermediate Computations)'!E80</f>
        <v>40269</v>
      </c>
      <c r="E39" s="4">
        <f>'(Intermediate Computations)'!F80</f>
        <v>40299</v>
      </c>
      <c r="F39" s="4">
        <f>'(Intermediate Computations)'!G80</f>
        <v>40330</v>
      </c>
      <c r="G39" s="4">
        <f>'(Intermediate Computations)'!H80</f>
        <v>40360</v>
      </c>
      <c r="H39" s="4">
        <f>'(Intermediate Computations)'!I80</f>
        <v>40391</v>
      </c>
      <c r="I39" s="4">
        <f>'(Intermediate Computations)'!J80</f>
        <v>40422</v>
      </c>
      <c r="J39" s="4">
        <f>'(Intermediate Computations)'!K80</f>
        <v>40452</v>
      </c>
      <c r="K39" s="4">
        <f>'(Intermediate Computations)'!L80</f>
        <v>40483</v>
      </c>
      <c r="L39" s="4">
        <f>'(Intermediate Computations)'!M80</f>
        <v>40513</v>
      </c>
      <c r="M39" s="4">
        <f>'(Intermediate Computations)'!O80</f>
        <v>40544</v>
      </c>
      <c r="N39" s="4">
        <f>'(Intermediate Computations)'!P80</f>
        <v>40575</v>
      </c>
      <c r="O39" s="4">
        <f>'(Intermediate Computations)'!Q80</f>
        <v>40603</v>
      </c>
      <c r="P39" s="4">
        <f>'(Intermediate Computations)'!R80</f>
        <v>40634</v>
      </c>
      <c r="Q39" s="4">
        <f>'(Intermediate Computations)'!S80</f>
        <v>40664</v>
      </c>
      <c r="R39" s="4">
        <f>'(Intermediate Computations)'!T80</f>
        <v>40695</v>
      </c>
      <c r="S39" s="4">
        <f>'(Intermediate Computations)'!U80</f>
        <v>40725</v>
      </c>
      <c r="T39" s="4">
        <f>'(Intermediate Computations)'!V80</f>
        <v>40756</v>
      </c>
      <c r="U39" s="4">
        <f>'(Intermediate Computations)'!W80</f>
        <v>40787</v>
      </c>
      <c r="V39" s="4">
        <f>'(Intermediate Computations)'!X80</f>
        <v>40817</v>
      </c>
      <c r="W39" s="4">
        <f>'(Intermediate Computations)'!Y80</f>
        <v>40848</v>
      </c>
      <c r="X39" s="4">
        <f>'(Intermediate Computations)'!Z80</f>
        <v>40878</v>
      </c>
      <c r="Y39" s="4">
        <f>'(Intermediate Computations)'!AB80</f>
        <v>40909</v>
      </c>
      <c r="Z39" s="4">
        <f>'(Intermediate Computations)'!AC80</f>
        <v>40940</v>
      </c>
      <c r="AA39" s="4">
        <f>'(Intermediate Computations)'!AD80</f>
        <v>40969</v>
      </c>
      <c r="AB39" s="4">
        <f>'(Intermediate Computations)'!AE80</f>
        <v>41000</v>
      </c>
      <c r="AC39" s="4">
        <f>'(Intermediate Computations)'!AF80</f>
        <v>41030</v>
      </c>
      <c r="AD39" s="4">
        <f>'(Intermediate Computations)'!AG80</f>
        <v>41061</v>
      </c>
      <c r="AE39" s="4">
        <f>'(Intermediate Computations)'!AH80</f>
        <v>41091</v>
      </c>
      <c r="AF39" s="4">
        <f>'(Intermediate Computations)'!AI80</f>
        <v>41122</v>
      </c>
      <c r="AG39" s="4">
        <f>'(Intermediate Computations)'!AJ80</f>
        <v>41153</v>
      </c>
      <c r="AH39" s="4">
        <f>'(Intermediate Computations)'!AK80</f>
        <v>41183</v>
      </c>
      <c r="AI39" s="4">
        <f>'(Intermediate Computations)'!AL80</f>
        <v>41214</v>
      </c>
      <c r="AJ39" s="4">
        <f>'(Intermediate Computations)'!AM80</f>
        <v>41244</v>
      </c>
      <c r="AK39" s="4">
        <f>'(Intermediate Computations)'!AO80</f>
        <v>41275</v>
      </c>
      <c r="AL39" s="4">
        <f>'(Intermediate Computations)'!AP80</f>
        <v>41306</v>
      </c>
      <c r="AM39" s="4">
        <f>'(Intermediate Computations)'!AQ80</f>
        <v>41334</v>
      </c>
      <c r="AN39" s="4">
        <f>'(Intermediate Computations)'!AR80</f>
        <v>41365</v>
      </c>
      <c r="AO39" s="4">
        <f>'(Intermediate Computations)'!AS80</f>
        <v>41395</v>
      </c>
      <c r="AP39" s="4">
        <f>'(Intermediate Computations)'!AT80</f>
        <v>41426</v>
      </c>
      <c r="AQ39" s="4">
        <f>'(Intermediate Computations)'!AU80</f>
        <v>41456</v>
      </c>
      <c r="AR39" s="4">
        <f>'(Intermediate Computations)'!AV80</f>
        <v>41487</v>
      </c>
      <c r="AS39" s="4">
        <f>'(Intermediate Computations)'!AW80</f>
        <v>41518</v>
      </c>
      <c r="AT39" s="4">
        <f>'(Intermediate Computations)'!AX80</f>
        <v>41548</v>
      </c>
      <c r="AU39" s="4">
        <f>'(Intermediate Computations)'!AY80</f>
        <v>41579</v>
      </c>
      <c r="AV39" s="4">
        <f>'(Intermediate Computations)'!AZ80</f>
        <v>41609</v>
      </c>
      <c r="AW39" s="4">
        <f>'(Intermediate Computations)'!BB80</f>
        <v>41640</v>
      </c>
      <c r="AX39" s="4">
        <f>'(Intermediate Computations)'!BC80</f>
        <v>41671</v>
      </c>
      <c r="AY39" s="4">
        <f>'(Intermediate Computations)'!BD80</f>
        <v>41699</v>
      </c>
      <c r="AZ39" s="4">
        <f>'(Intermediate Computations)'!BE80</f>
        <v>41730</v>
      </c>
      <c r="BA39" s="4">
        <f>'(Intermediate Computations)'!BF80</f>
        <v>41760</v>
      </c>
      <c r="BB39" s="4">
        <f>'(Intermediate Computations)'!BG80</f>
        <v>41791</v>
      </c>
      <c r="BC39" s="4">
        <f>'(Intermediate Computations)'!BH80</f>
        <v>41821</v>
      </c>
      <c r="BD39" s="4">
        <f>'(Intermediate Computations)'!BI80</f>
        <v>41852</v>
      </c>
      <c r="BE39" s="4">
        <f>'(Intermediate Computations)'!BJ80</f>
        <v>41883</v>
      </c>
      <c r="BF39" s="4">
        <f>'(Intermediate Computations)'!BK80</f>
        <v>41913</v>
      </c>
      <c r="BG39" s="4">
        <f>'(Intermediate Computations)'!BL80</f>
        <v>41944</v>
      </c>
      <c r="BH39" s="4">
        <f>'(Intermediate Computations)'!BM80</f>
        <v>41974</v>
      </c>
      <c r="BI39" s="4">
        <f>'(Intermediate Computations)'!BO80</f>
        <v>42005</v>
      </c>
      <c r="BJ39" s="4">
        <f>'(Intermediate Computations)'!BP80</f>
        <v>42036</v>
      </c>
      <c r="BK39" s="4">
        <f>'(Intermediate Computations)'!BQ80</f>
        <v>42064</v>
      </c>
      <c r="BL39" s="4">
        <f>'(Intermediate Computations)'!BR80</f>
        <v>42095</v>
      </c>
      <c r="BM39" s="4">
        <f>'(Intermediate Computations)'!BS80</f>
        <v>42125</v>
      </c>
      <c r="BN39" s="4">
        <f>'(Intermediate Computations)'!BT80</f>
        <v>42156</v>
      </c>
      <c r="BO39" s="4">
        <f>'(Intermediate Computations)'!BU80</f>
        <v>42186</v>
      </c>
      <c r="BP39" s="4">
        <f>'(Intermediate Computations)'!BV80</f>
        <v>42217</v>
      </c>
      <c r="BQ39" s="4">
        <f>'(Intermediate Computations)'!BW80</f>
        <v>42248</v>
      </c>
      <c r="BR39" s="4">
        <f>'(Intermediate Computations)'!BX80</f>
        <v>42278</v>
      </c>
      <c r="BS39" s="4">
        <f>'(Intermediate Computations)'!BY80</f>
        <v>42309</v>
      </c>
      <c r="BT39" s="4">
        <f>'(Intermediate Computations)'!BZ80</f>
        <v>42339</v>
      </c>
      <c r="BU39" s="4">
        <f>'(Intermediate Computations)'!CB80</f>
        <v>42370</v>
      </c>
      <c r="BV39" s="4">
        <f>'(Intermediate Computations)'!CC80</f>
        <v>42401</v>
      </c>
      <c r="BW39" s="4">
        <f>'(Intermediate Computations)'!CD80</f>
        <v>42430</v>
      </c>
      <c r="BX39" s="4">
        <f>'(Intermediate Computations)'!CE80</f>
        <v>42461</v>
      </c>
      <c r="BY39" s="4">
        <f>'(Intermediate Computations)'!CF80</f>
        <v>42491</v>
      </c>
      <c r="BZ39" s="4">
        <f>'(Intermediate Computations)'!CG80</f>
        <v>42522</v>
      </c>
      <c r="CA39" s="4">
        <f>'(Intermediate Computations)'!CH80</f>
        <v>42552</v>
      </c>
      <c r="CB39" s="4">
        <f>'(Intermediate Computations)'!CI80</f>
        <v>42583</v>
      </c>
      <c r="CC39" s="4">
        <f>'(Intermediate Computations)'!CJ80</f>
        <v>42614</v>
      </c>
      <c r="CD39" s="4">
        <f>'(Intermediate Computations)'!CK80</f>
        <v>42644</v>
      </c>
      <c r="CE39" s="4">
        <f>'(Intermediate Computations)'!CL80</f>
        <v>42675</v>
      </c>
      <c r="CF39" s="4">
        <f>'(Intermediate Computations)'!CM80</f>
        <v>42705</v>
      </c>
      <c r="CG39" s="4">
        <f>'(Intermediate Computations)'!CO80</f>
        <v>42736</v>
      </c>
      <c r="CH39" s="4">
        <f>'(Intermediate Computations)'!CP80</f>
        <v>42767</v>
      </c>
      <c r="CI39" s="4">
        <f>'(Intermediate Computations)'!CQ80</f>
        <v>42795</v>
      </c>
      <c r="CJ39" s="4">
        <f>'(Intermediate Computations)'!CR80</f>
        <v>42826</v>
      </c>
      <c r="CK39" s="4">
        <f>'(Intermediate Computations)'!CS80</f>
        <v>42856</v>
      </c>
      <c r="CL39" s="4">
        <f>'(Intermediate Computations)'!CT80</f>
        <v>42887</v>
      </c>
      <c r="CM39" s="4">
        <f>'(Intermediate Computations)'!CU80</f>
        <v>42917</v>
      </c>
      <c r="CN39" s="4">
        <f>'(Intermediate Computations)'!CV80</f>
        <v>42948</v>
      </c>
      <c r="CO39" s="4">
        <f>'(Intermediate Computations)'!CW80</f>
        <v>42979</v>
      </c>
      <c r="CP39" s="4">
        <f>'(Intermediate Computations)'!CX80</f>
        <v>43009</v>
      </c>
      <c r="CQ39" s="4">
        <f>'(Intermediate Computations)'!CY80</f>
        <v>43040</v>
      </c>
      <c r="CR39" s="4">
        <f>'(Intermediate Computations)'!CZ80</f>
        <v>43070</v>
      </c>
      <c r="CS39" s="4">
        <f>'(Intermediate Computations)'!DB80</f>
        <v>43101</v>
      </c>
      <c r="CT39" s="4">
        <f>'(Intermediate Computations)'!DC80</f>
        <v>43132</v>
      </c>
      <c r="CU39" s="4">
        <f>'(Intermediate Computations)'!DD80</f>
        <v>43160</v>
      </c>
      <c r="CV39" s="4">
        <f>'(Intermediate Computations)'!DE80</f>
        <v>43191</v>
      </c>
      <c r="CW39" s="4">
        <f>'(Intermediate Computations)'!DF80</f>
        <v>43221</v>
      </c>
      <c r="CX39" s="4">
        <f>'(Intermediate Computations)'!DG80</f>
        <v>43252</v>
      </c>
      <c r="CY39" s="4">
        <f>'(Intermediate Computations)'!DH80</f>
        <v>43282</v>
      </c>
      <c r="CZ39" s="4">
        <f>'(Intermediate Computations)'!DI80</f>
        <v>43313</v>
      </c>
      <c r="DA39" s="4">
        <f>'(Intermediate Computations)'!DJ80</f>
        <v>43344</v>
      </c>
      <c r="DB39" s="4">
        <f>'(Intermediate Computations)'!DK80</f>
        <v>43374</v>
      </c>
      <c r="DC39" s="4">
        <f>'(Intermediate Computations)'!DL80</f>
        <v>43405</v>
      </c>
      <c r="DD39" s="4">
        <f>'(Intermediate Computations)'!DM80</f>
        <v>43435</v>
      </c>
      <c r="DE39" s="4">
        <f>'(Intermediate Computations)'!DO80</f>
        <v>43466</v>
      </c>
      <c r="DF39" s="4">
        <f>'(Intermediate Computations)'!DP80</f>
        <v>43497</v>
      </c>
      <c r="DG39" s="4">
        <f>'(Intermediate Computations)'!DQ80</f>
        <v>43525</v>
      </c>
      <c r="DH39" s="4">
        <f>'(Intermediate Computations)'!DR80</f>
        <v>43556</v>
      </c>
      <c r="DI39" s="4">
        <f>'(Intermediate Computations)'!DS80</f>
        <v>43586</v>
      </c>
      <c r="DJ39" s="4">
        <f>'(Intermediate Computations)'!DT80</f>
        <v>43617</v>
      </c>
      <c r="DK39" s="4">
        <f>'(Intermediate Computations)'!DU80</f>
        <v>43647</v>
      </c>
      <c r="DL39" s="4">
        <f>'(Intermediate Computations)'!DV80</f>
        <v>43678</v>
      </c>
      <c r="DM39" s="4">
        <f>'(Intermediate Computations)'!DW80</f>
        <v>43709</v>
      </c>
      <c r="DN39" s="4">
        <f>'(Intermediate Computations)'!DX80</f>
        <v>43739</v>
      </c>
      <c r="DO39" s="4">
        <f>'(Intermediate Computations)'!DY80</f>
        <v>43770</v>
      </c>
      <c r="DP39" s="4">
        <f>'(Intermediate Computations)'!DZ80</f>
        <v>43800</v>
      </c>
      <c r="DQ39" s="4">
        <f>'(Intermediate Computations)'!EB80</f>
        <v>43831</v>
      </c>
      <c r="DR39" s="4">
        <f>'(Intermediate Computations)'!EC80</f>
        <v>43862</v>
      </c>
      <c r="DS39" s="4">
        <f>'(Intermediate Computations)'!ED80</f>
        <v>43891</v>
      </c>
      <c r="DT39" s="4">
        <f>'(Intermediate Computations)'!EE80</f>
        <v>43922</v>
      </c>
      <c r="DU39" s="4">
        <f>'(Intermediate Computations)'!EF80</f>
        <v>43952</v>
      </c>
      <c r="DV39" s="4">
        <f>'(Intermediate Computations)'!EG80</f>
        <v>43983</v>
      </c>
      <c r="DW39" s="4">
        <f>'(Intermediate Computations)'!EH80</f>
        <v>44013</v>
      </c>
      <c r="DX39" s="4">
        <f>'(Intermediate Computations)'!EI80</f>
        <v>44044</v>
      </c>
      <c r="DY39" s="4">
        <f>'(Intermediate Computations)'!EJ80</f>
        <v>44075</v>
      </c>
      <c r="DZ39" s="4">
        <f>'(Intermediate Computations)'!EK80</f>
        <v>44105</v>
      </c>
      <c r="EA39" s="4">
        <f>'(Intermediate Computations)'!EL80</f>
        <v>44136</v>
      </c>
      <c r="EB39" s="4">
        <f>'(Intermediate Computations)'!EM80</f>
        <v>44166</v>
      </c>
    </row>
    <row r="41" spans="1:132" ht="12.75" customHeight="1" x14ac:dyDescent="0.2">
      <c r="A41" t="s">
        <v>181</v>
      </c>
    </row>
    <row r="42" spans="1:132" ht="12.75" customHeight="1" x14ac:dyDescent="0.2">
      <c r="A42" t="s">
        <v>1</v>
      </c>
    </row>
    <row r="43" spans="1:132" ht="12.75" customHeight="1" x14ac:dyDescent="0.2">
      <c r="A43" t="s">
        <v>205</v>
      </c>
    </row>
    <row r="44" spans="1:132" ht="12.75" customHeight="1" x14ac:dyDescent="0.2">
      <c r="A44" t="s">
        <v>138</v>
      </c>
    </row>
    <row r="45" spans="1:132" ht="12.75" customHeight="1" x14ac:dyDescent="0.2">
      <c r="A45" t="s">
        <v>208</v>
      </c>
    </row>
    <row r="46" spans="1:132" ht="12.75" customHeight="1" x14ac:dyDescent="0.2">
      <c r="A46" t="s">
        <v>293</v>
      </c>
    </row>
    <row r="47" spans="1:132" ht="12.75" customHeight="1" x14ac:dyDescent="0.2">
      <c r="A47" t="s">
        <v>297</v>
      </c>
    </row>
    <row r="48" spans="1:132" ht="12.75" customHeight="1" x14ac:dyDescent="0.2">
      <c r="A48" t="s">
        <v>31</v>
      </c>
    </row>
    <row r="49" spans="1:1" ht="12.75" customHeight="1" x14ac:dyDescent="0.2">
      <c r="A49" t="s">
        <v>256</v>
      </c>
    </row>
    <row r="50" spans="1:1" ht="12.75" customHeight="1" x14ac:dyDescent="0.2">
      <c r="A50" t="s">
        <v>278</v>
      </c>
    </row>
    <row r="51" spans="1:1" ht="12.75" customHeight="1" x14ac:dyDescent="0.2">
      <c r="A51" t="s">
        <v>226</v>
      </c>
    </row>
    <row r="52" spans="1:1" ht="12.75" customHeight="1" x14ac:dyDescent="0.2">
      <c r="A52" t="s">
        <v>182</v>
      </c>
    </row>
    <row r="53" spans="1:1" ht="12.75" customHeight="1" x14ac:dyDescent="0.2">
      <c r="A53" t="s">
        <v>321</v>
      </c>
    </row>
    <row r="54" spans="1:1" ht="12.75" customHeight="1" x14ac:dyDescent="0.2">
      <c r="A54" t="s">
        <v>37</v>
      </c>
    </row>
    <row r="55" spans="1:1" ht="12.75" customHeight="1" x14ac:dyDescent="0.2">
      <c r="A55" t="s">
        <v>13</v>
      </c>
    </row>
    <row r="56" spans="1:1" ht="12.75" customHeight="1" x14ac:dyDescent="0.2">
      <c r="A56" t="s">
        <v>70</v>
      </c>
    </row>
    <row r="57" spans="1:1" ht="12.75" customHeight="1" x14ac:dyDescent="0.2">
      <c r="A57" t="s">
        <v>24</v>
      </c>
    </row>
    <row r="58" spans="1:1" ht="12.75" customHeight="1" x14ac:dyDescent="0.2">
      <c r="A58" t="s">
        <v>112</v>
      </c>
    </row>
    <row r="59" spans="1:1" ht="12.75" customHeight="1" x14ac:dyDescent="0.2">
      <c r="A59" t="s">
        <v>168</v>
      </c>
    </row>
    <row r="60" spans="1:1" ht="12.75" customHeight="1" x14ac:dyDescent="0.2">
      <c r="A60" t="s">
        <v>43</v>
      </c>
    </row>
    <row r="61" spans="1:1" ht="12.75" customHeight="1" x14ac:dyDescent="0.2">
      <c r="A61" t="s">
        <v>195</v>
      </c>
    </row>
    <row r="62" spans="1:1" ht="12.75" customHeight="1" x14ac:dyDescent="0.2">
      <c r="A62" t="s">
        <v>71</v>
      </c>
    </row>
    <row r="63" spans="1:1" ht="12.75" customHeight="1" x14ac:dyDescent="0.2">
      <c r="A63" t="s">
        <v>288</v>
      </c>
    </row>
    <row r="64" spans="1:1" ht="12.75" customHeight="1" x14ac:dyDescent="0.2">
      <c r="A64" t="s">
        <v>105</v>
      </c>
    </row>
    <row r="65" spans="1:1" ht="12.75" customHeight="1" x14ac:dyDescent="0.2">
      <c r="A65" t="s">
        <v>323</v>
      </c>
    </row>
    <row r="66" spans="1:1" ht="12.75" customHeight="1" x14ac:dyDescent="0.2">
      <c r="A66" t="s">
        <v>296</v>
      </c>
    </row>
    <row r="67" spans="1:1" ht="12.75" customHeight="1" x14ac:dyDescent="0.2">
      <c r="A67" t="s">
        <v>319</v>
      </c>
    </row>
    <row r="68" spans="1:1" ht="12.75" customHeight="1" x14ac:dyDescent="0.2">
      <c r="A68" t="s">
        <v>4</v>
      </c>
    </row>
    <row r="69" spans="1:1" ht="12.75" customHeight="1" x14ac:dyDescent="0.2">
      <c r="A69" t="s">
        <v>265</v>
      </c>
    </row>
    <row r="70" spans="1:1" ht="12.75" customHeight="1" x14ac:dyDescent="0.2">
      <c r="A70" t="s">
        <v>272</v>
      </c>
    </row>
    <row r="71" spans="1:1" ht="12.75" customHeight="1" x14ac:dyDescent="0.2">
      <c r="A71" t="s">
        <v>152</v>
      </c>
    </row>
    <row r="72" spans="1:1" ht="12.75" customHeight="1" x14ac:dyDescent="0.2">
      <c r="A72" t="s">
        <v>30</v>
      </c>
    </row>
    <row r="73" spans="1:1" ht="12.75" customHeight="1" x14ac:dyDescent="0.2">
      <c r="A73" t="s">
        <v>177</v>
      </c>
    </row>
    <row r="74" spans="1:1" ht="12.75" customHeight="1" x14ac:dyDescent="0.2">
      <c r="A74" t="s">
        <v>145</v>
      </c>
    </row>
    <row r="75" spans="1:1" ht="12.75" customHeight="1" x14ac:dyDescent="0.2">
      <c r="A75" t="s">
        <v>53</v>
      </c>
    </row>
    <row r="76" spans="1:1" ht="12.75" customHeight="1" x14ac:dyDescent="0.2">
      <c r="A76" t="s">
        <v>18</v>
      </c>
    </row>
    <row r="77" spans="1:1" ht="12.75" customHeight="1" x14ac:dyDescent="0.2">
      <c r="A77" t="s">
        <v>91</v>
      </c>
    </row>
    <row r="78" spans="1:1" ht="12.75" customHeight="1" x14ac:dyDescent="0.2">
      <c r="A78" t="s">
        <v>290</v>
      </c>
    </row>
    <row r="79" spans="1:1" ht="12.75" customHeight="1" x14ac:dyDescent="0.2">
      <c r="A79" t="s">
        <v>224</v>
      </c>
    </row>
  </sheetData>
  <pageMargins left="0.75" right="0.75" top="1" bottom="1" header="0.5" footer="0.5"/>
  <pageSetup paperSize="9" orientation="portrait" horizontalDpi="0" verticalDpi="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
  <sheetViews>
    <sheetView workbookViewId="0"/>
  </sheetViews>
  <sheetFormatPr defaultRowHeight="12.75" customHeight="1" x14ac:dyDescent="0.2"/>
  <sheetData>
    <row r="1" spans="1:64" ht="12.75" customHeight="1" x14ac:dyDescent="0.2">
      <c r="A1" t="s">
        <v>111</v>
      </c>
      <c r="B1" t="str">
        <f>Labels!B22</f>
        <v>Employment</v>
      </c>
      <c r="C1" t="s">
        <v>266</v>
      </c>
      <c r="D1" t="str">
        <f>Labels!E22</f>
        <v>The level of employment in each time period (expressed in millions of full-time-equivalent man-periods)</v>
      </c>
      <c r="E1" t="s">
        <v>178</v>
      </c>
      <c r="F1" t="str">
        <f>Labels!B20</f>
        <v>Short Expected Demand</v>
      </c>
      <c r="G1" t="s">
        <v>219</v>
      </c>
      <c r="H1" t="str">
        <f>Labels!E20</f>
        <v>Short-term expected demand for goods and services per time period, in each time period (in millions)</v>
      </c>
      <c r="I1" t="s">
        <v>281</v>
      </c>
      <c r="J1" t="str">
        <f>Labels!B19</f>
        <v>Long Expected Demand</v>
      </c>
      <c r="K1" t="s">
        <v>108</v>
      </c>
      <c r="L1" t="str">
        <f>Labels!E19</f>
        <v>The long-term expected demand for goods and services per time period, in each time period (in millions)</v>
      </c>
      <c r="M1" t="s">
        <v>101</v>
      </c>
      <c r="N1" t="str">
        <f>Labels!B9</f>
        <v>Capital</v>
      </c>
      <c r="O1" t="s">
        <v>199</v>
      </c>
      <c r="P1" t="str">
        <f>Labels!E9</f>
        <v>The capital stock, in each time period (expressed in millions). The net capital investment in the previous time period determines the change in capital in each time period, to avoid circularity</v>
      </c>
      <c r="Q1" t="s">
        <v>225</v>
      </c>
      <c r="R1" t="str">
        <f>Labels!B34</f>
        <v>Permanent Income</v>
      </c>
      <c r="S1" t="s">
        <v>194</v>
      </c>
      <c r="T1" t="str">
        <f>Labels!E34</f>
        <v>Consumers' expectation of their permanent income per time period, in each time period (in $ millions). This variable enters into consumers' decisions about how much of their income to spend.</v>
      </c>
      <c r="U1" t="s">
        <v>312</v>
      </c>
      <c r="V1" t="str">
        <f>Labels!B38</f>
        <v>Output</v>
      </c>
      <c r="W1" t="s">
        <v>116</v>
      </c>
      <c r="X1" t="str">
        <f>Labels!E38</f>
        <v>The total output per time period, in each time period (in millions)</v>
      </c>
      <c r="Y1" t="s">
        <v>125</v>
      </c>
      <c r="Z1" t="str">
        <f>Labels!B41</f>
        <v>Potential Output</v>
      </c>
      <c r="AA1" t="s">
        <v>201</v>
      </c>
      <c r="AB1" t="str">
        <f>Labels!E41</f>
        <v>Potential output per time period given capital and labor inputs, in each time period (in millions). Output generally is lower than this level because capital is not flexible enough to be fully redeployed in response to fluctuations of demand.
This production function assumes that the economy has no scale effect; that is, doubling inputs to the economy doubles output.</v>
      </c>
      <c r="AC1" t="s">
        <v>127</v>
      </c>
      <c r="AD1" t="str">
        <f>Labels!B21</f>
        <v>dt</v>
      </c>
      <c r="AE1" t="s">
        <v>88</v>
      </c>
      <c r="AF1" t="str">
        <f>Labels!E21</f>
        <v>The length of each time period in model time, expressed in years</v>
      </c>
      <c r="AG1" t="s">
        <v>130</v>
      </c>
      <c r="AH1" t="str">
        <f>Labels!B39</f>
        <v>Equilibrium Output</v>
      </c>
      <c r="AI1" t="s">
        <v>59</v>
      </c>
      <c r="AJ1" t="str">
        <f>Labels!E39</f>
        <v>Equilibrium output per time period (in millions)</v>
      </c>
      <c r="AK1" t="s">
        <v>29</v>
      </c>
      <c r="AL1" t="str">
        <f>Labels!B17</f>
        <v>Avg Propensity Consume</v>
      </c>
      <c r="AM1" t="s">
        <v>215</v>
      </c>
      <c r="AN1" t="str">
        <f>Labels!E17</f>
        <v>The propensity to consume, expressed as a percent of output, in each time period</v>
      </c>
      <c r="AO1" t="s">
        <v>252</v>
      </c>
      <c r="AP1" t="str">
        <f>Labels!B54</f>
        <v>Time Smooth Income</v>
      </c>
      <c r="AQ1" t="s">
        <v>259</v>
      </c>
      <c r="AR1" t="str">
        <f>Labels!E54</f>
        <v>The characteristic time needed for consumers to adjust their expectation of permanent income as their incomes change, expressed in years</v>
      </c>
      <c r="AS1" t="s">
        <v>222</v>
      </c>
      <c r="AT1" t="str">
        <f>Labels!B56</f>
        <v>Time Smooth Short Demand</v>
      </c>
      <c r="AU1" t="s">
        <v>117</v>
      </c>
      <c r="AV1" t="str">
        <f>Labels!E56</f>
        <v>The characteristic time needed for short-term expected demand to adjust to changes in aggregate demand, expressed in years</v>
      </c>
      <c r="AW1" t="s">
        <v>122</v>
      </c>
      <c r="AX1" t="str">
        <f>Labels!B55</f>
        <v>Time Smooth Long Demand</v>
      </c>
      <c r="AY1" t="s">
        <v>188</v>
      </c>
      <c r="AZ1" t="str">
        <f>Labels!E55</f>
        <v>The characteristic time needed for long-term expected demand to adjust to changes in aggregate demand, expressed in years</v>
      </c>
      <c r="BA1" t="s">
        <v>191</v>
      </c>
      <c r="BB1" t="str">
        <f>Labels!B24</f>
        <v>Equilibrium Employment</v>
      </c>
      <c r="BC1" t="s">
        <v>277</v>
      </c>
      <c r="BD1" t="str">
        <f>Labels!E24</f>
        <v>The equilibrium level of employment (in millions of full-time-equivalent man-periods)</v>
      </c>
      <c r="BE1" t="s">
        <v>298</v>
      </c>
      <c r="BF1" t="str">
        <f>Labels!B42</f>
        <v>Equilib Real Wage</v>
      </c>
      <c r="BG1" t="s">
        <v>136</v>
      </c>
      <c r="BH1" t="str">
        <f>Labels!E42</f>
        <v>The real wage per time period when the economy is in equilibrium (expressed in $ millions per million full time equivalent man-periods)</v>
      </c>
      <c r="BI1" t="s">
        <v>306</v>
      </c>
      <c r="BJ1" t="str">
        <f>Labels!B53</f>
        <v>Time Adjust Employment</v>
      </c>
      <c r="BK1" t="s">
        <v>63</v>
      </c>
      <c r="BL1" t="str">
        <f>Labels!E53</f>
        <v>The characteristic time needed for the level of employment to respond to changes in demand, expressed in years</v>
      </c>
    </row>
    <row r="2" spans="1:64" ht="12.75" customHeight="1" x14ac:dyDescent="0.2">
      <c r="A2" t="s">
        <v>165</v>
      </c>
      <c r="B2" t="str">
        <f>Labels!B14</f>
        <v>Capital Exponent</v>
      </c>
      <c r="C2" t="s">
        <v>214</v>
      </c>
      <c r="D2" t="str">
        <f>Labels!E14</f>
        <v>The capital productivity exponent used in the production function</v>
      </c>
      <c r="E2" t="s">
        <v>15</v>
      </c>
      <c r="F2" t="str">
        <f>Labels!B35</f>
        <v>Long Interest Rate</v>
      </c>
      <c r="G2" t="s">
        <v>123</v>
      </c>
      <c r="H2" t="str">
        <f>Labels!E35</f>
        <v>The long-term interest rate per period on debt</v>
      </c>
      <c r="I2" t="s">
        <v>151</v>
      </c>
      <c r="J2" t="str">
        <f>Labels!B10</f>
        <v>Avg Life Capital</v>
      </c>
      <c r="K2" t="s">
        <v>295</v>
      </c>
      <c r="L2" t="str">
        <f>Labels!E10</f>
        <v>The average lifetime of capital stock expressed in years, in each time period</v>
      </c>
      <c r="M2" t="s">
        <v>216</v>
      </c>
      <c r="N2" t="str">
        <f>Labels!B13</f>
        <v>Equilib Capital</v>
      </c>
      <c r="O2" t="s">
        <v>190</v>
      </c>
      <c r="P2" t="str">
        <f>Labels!E13</f>
        <v>This is a numerical input parameter of the model.</v>
      </c>
      <c r="Q2" t="s">
        <v>67</v>
      </c>
      <c r="R2" t="str">
        <f>Labels!B52</f>
        <v>Time Adjust Capital</v>
      </c>
      <c r="S2" t="s">
        <v>33</v>
      </c>
      <c r="T2" t="str">
        <f>Labels!E52</f>
        <v>The characteristic time needed for the stock of capital to adjust to changes in demand, expressed in years</v>
      </c>
      <c r="U2" t="s">
        <v>202</v>
      </c>
      <c r="V2" t="str">
        <f>Labels!B26</f>
        <v>Flexibility Capacity Utilization</v>
      </c>
      <c r="W2" t="s">
        <v>99</v>
      </c>
      <c r="X2" t="str">
        <f>Labels!E26</f>
        <v>Flexibility of capacity unitlization. Measures how well the capital stock responds to short-term changes in demand.</v>
      </c>
      <c r="Y2" t="s">
        <v>184</v>
      </c>
      <c r="Z2" t="str">
        <f>Labels!B27</f>
        <v>Equilib Gov Spending</v>
      </c>
      <c r="AA2" t="s">
        <v>223</v>
      </c>
      <c r="AB2" t="str">
        <f>Labels!E27</f>
        <v>Government spending when the economy is in equilibrium</v>
      </c>
      <c r="AC2" t="s">
        <v>90</v>
      </c>
      <c r="AD2" t="str">
        <f>Labels!B31</f>
        <v>Equilib Gov Transfers</v>
      </c>
      <c r="AE2" t="s">
        <v>250</v>
      </c>
      <c r="AF2" t="str">
        <f>Labels!E31</f>
        <v>The equilibrium level of government transfer payments in each time period, given current policies (in millions)</v>
      </c>
      <c r="AG2" t="s">
        <v>303</v>
      </c>
      <c r="AH2" t="str">
        <f>Labels!B50</f>
        <v>Tax Rate</v>
      </c>
      <c r="AI2" t="s">
        <v>150</v>
      </c>
      <c r="AJ2" t="str">
        <f>Labels!E50</f>
        <v>The average rate of taxation of all kinds including local, state and federal. This is a numerical input parameter of the model.</v>
      </c>
      <c r="AK2" t="s">
        <v>166</v>
      </c>
      <c r="AL2" t="str">
        <f>Labels!B23</f>
        <v>Desired Employment</v>
      </c>
      <c r="AM2" t="s">
        <v>78</v>
      </c>
      <c r="AN2" t="str">
        <f>Labels!E23</f>
        <v>The desired level of employment in each time period (expressed in millions of full-time-equivalent man-periods)</v>
      </c>
      <c r="AO2" t="s">
        <v>57</v>
      </c>
      <c r="AP2" t="str">
        <f>Labels!B18</f>
        <v>Aggregate Demand</v>
      </c>
      <c r="AQ2" t="s">
        <v>36</v>
      </c>
      <c r="AR2" t="str">
        <f>Labels!E18</f>
        <v>The aggregate demand for goods and services in the economy, in each time period</v>
      </c>
      <c r="AS2" t="s">
        <v>248</v>
      </c>
      <c r="AT2" t="str">
        <f>Labels!B44</f>
        <v>Aggregate Demand Shock</v>
      </c>
      <c r="AU2" t="s">
        <v>327</v>
      </c>
      <c r="AV2" t="str">
        <f>Labels!E44</f>
        <v>A random shock to the aggregate demand of the economy, in each time period</v>
      </c>
      <c r="AW2" t="s">
        <v>262</v>
      </c>
      <c r="AX2" t="str">
        <f>Labels!B46</f>
        <v>Output Shock</v>
      </c>
      <c r="AY2" t="s">
        <v>267</v>
      </c>
      <c r="AZ2" t="str">
        <f>Labels!E46</f>
        <v>A random shock to the output of the economy, in each time period</v>
      </c>
      <c r="BA2" t="s">
        <v>176</v>
      </c>
      <c r="BB2" t="str">
        <f>Labels!B25</f>
        <v>Final Sales</v>
      </c>
      <c r="BC2" t="s">
        <v>227</v>
      </c>
      <c r="BD2" t="str">
        <f>Labels!E25</f>
        <v>The amount of goods and services sold in the economy, in each time period (in millions)</v>
      </c>
      <c r="BE2" t="s">
        <v>48</v>
      </c>
      <c r="BF2" t="str">
        <f>Labels!B16</f>
        <v>Consumption</v>
      </c>
      <c r="BG2" t="s">
        <v>284</v>
      </c>
      <c r="BH2" t="str">
        <f>Labels!E16</f>
        <v>Consumption spending, in each time period (in millions)</v>
      </c>
      <c r="BI2" t="s">
        <v>87</v>
      </c>
      <c r="BJ2" t="str">
        <f>Labels!B33</f>
        <v>Current Disposable Income</v>
      </c>
      <c r="BK2" t="s">
        <v>213</v>
      </c>
      <c r="BL2" t="str">
        <f>Labels!E33</f>
        <v>Current disposable income, in each time period (in millions)</v>
      </c>
    </row>
    <row r="3" spans="1:64" ht="12.75" customHeight="1" x14ac:dyDescent="0.2">
      <c r="A3" t="s">
        <v>137</v>
      </c>
      <c r="B3" t="str">
        <f>Labels!B30</f>
        <v>Gov Transfers</v>
      </c>
      <c r="C3" t="s">
        <v>115</v>
      </c>
      <c r="D3" t="str">
        <f>Labels!E30</f>
        <v>Total government transfer payments, in each time period (in millions)</v>
      </c>
      <c r="E3" t="s">
        <v>292</v>
      </c>
      <c r="F3" t="str">
        <f>Labels!B15</f>
        <v>Capital Investment</v>
      </c>
      <c r="G3" t="s">
        <v>82</v>
      </c>
      <c r="H3" t="str">
        <f>Labels!E15</f>
        <v>Capital investmnent in each time period (in millions)</v>
      </c>
      <c r="I3" t="s">
        <v>164</v>
      </c>
      <c r="J3" t="str">
        <f>Labels!B11</f>
        <v>Capital Depreciation</v>
      </c>
      <c r="K3" t="s">
        <v>230</v>
      </c>
      <c r="L3" t="str">
        <f>Labels!E11</f>
        <v>The capital depreciation expense in each time period (in millions)</v>
      </c>
      <c r="M3" t="s">
        <v>103</v>
      </c>
      <c r="N3" t="str">
        <f>Labels!B12</f>
        <v>Desired Capital</v>
      </c>
      <c r="O3" t="s">
        <v>220</v>
      </c>
      <c r="P3" t="str">
        <f>Labels!E12</f>
        <v>The desired capital stock in each time period (in millions)</v>
      </c>
      <c r="Q3" t="s">
        <v>249</v>
      </c>
      <c r="R3" t="str">
        <f>Labels!B49</f>
        <v>Tax</v>
      </c>
      <c r="S3" t="s">
        <v>294</v>
      </c>
      <c r="T3" t="str">
        <f>Labels!E49</f>
        <v>Total taxes in the economy (in $ millions), in each time period</v>
      </c>
      <c r="U3" t="s">
        <v>210</v>
      </c>
      <c r="V3" t="str">
        <f>Labels!B29</f>
        <v>Gov Spending</v>
      </c>
      <c r="W3" t="s">
        <v>3</v>
      </c>
      <c r="X3" t="str">
        <f>Labels!E29</f>
        <v>Total government spending, in each time period (in millions)</v>
      </c>
      <c r="Y3" t="s">
        <v>231</v>
      </c>
      <c r="Z3" t="str">
        <f>Labels!B47</f>
        <v>Shock_Std_Dev</v>
      </c>
      <c r="AA3" t="s">
        <v>159</v>
      </c>
      <c r="AB3" t="str">
        <f>Labels!E47</f>
        <v>The standard deviation of all the random shock terms in the model. The std dev changes as the sqrt of the time period because it is a "Gauss-Wiener process", which generalizes a Gaussian random walk to time steps of all sizes.</v>
      </c>
      <c r="AC3" t="s">
        <v>237</v>
      </c>
      <c r="AD3" t="str">
        <f>Labels!B28</f>
        <v>Equilibrium Gov Spend %</v>
      </c>
      <c r="AE3" t="s">
        <v>76</v>
      </c>
      <c r="AF3" t="str">
        <f>Labels!E28</f>
        <v>The ratio (equilibrium government spending) / (equilibrium output). This is a numerical input to the model.</v>
      </c>
      <c r="AG3" t="s">
        <v>240</v>
      </c>
      <c r="AH3" t="str">
        <f>Labels!B32</f>
        <v>Equilibrium Gov Transfers %</v>
      </c>
      <c r="AI3" t="s">
        <v>228</v>
      </c>
      <c r="AJ3" t="str">
        <f>Labels!E32</f>
        <v>The ratio (equilibrium government transfer payments) / (equilibrium output). This is a numerical input to the model.</v>
      </c>
      <c r="AK3" t="s">
        <v>263</v>
      </c>
      <c r="AL3" t="str">
        <f>Labels!B43</f>
        <v>Equilibrium Real Wage %</v>
      </c>
      <c r="AM3" t="s">
        <v>203</v>
      </c>
      <c r="AN3" t="str">
        <f>Labels!E43</f>
        <v>The ratio (equilibrium real wage) / (national income). This is a numerical input parameter of the model.</v>
      </c>
      <c r="AO3" t="s">
        <v>158</v>
      </c>
      <c r="AP3" t="str">
        <f>Labels!B48</f>
        <v>Shock Std Deviation %</v>
      </c>
      <c r="AQ3" t="s">
        <v>193</v>
      </c>
      <c r="AR3" t="str">
        <f>Labels!E48</f>
        <v>The ratio (std dev of random shock) / (national income). This parameter does not depend on time because the model is based on an equilibrium economy with random shocks. This is a numerical input parameter of the model.</v>
      </c>
      <c r="AS3" t="s">
        <v>271</v>
      </c>
      <c r="AT3" t="str">
        <f>Labels!B51</f>
        <v>Time</v>
      </c>
      <c r="AU3" t="s">
        <v>309</v>
      </c>
      <c r="AV3" t="str">
        <f>Labels!E51</f>
        <v>Time in years from the beginning of Model Time</v>
      </c>
      <c r="AW3" t="s">
        <v>75</v>
      </c>
      <c r="AX3" t="str">
        <f>Labels!B37</f>
        <v>Model Name</v>
      </c>
      <c r="AY3" t="s">
        <v>244</v>
      </c>
      <c r="AZ3" t="str">
        <f>Labels!E37</f>
        <v>Name by which this model is known, as it appears at the top of each worksheet</v>
      </c>
      <c r="BA3" t="s">
        <v>300</v>
      </c>
      <c r="BB3" t="str">
        <f>Labels!B36</f>
        <v>Long Annual Interest Rate</v>
      </c>
      <c r="BC3" t="s">
        <v>162</v>
      </c>
      <c r="BD3" t="str">
        <f>Labels!E36</f>
        <v>The long-term annual interest rate on debt. This is a numerical input parameter of the model.</v>
      </c>
      <c r="BE3" t="s">
        <v>302</v>
      </c>
      <c r="BF3" t="str">
        <f>Labels!B40</f>
        <v>Equilibrium Annual Output</v>
      </c>
      <c r="BG3" t="s">
        <v>26</v>
      </c>
      <c r="BH3" t="str">
        <f>Labels!E40</f>
        <v>Equilibrium annual output (in millions)</v>
      </c>
      <c r="BI3" t="s">
        <v>328</v>
      </c>
      <c r="BJ3" t="str">
        <f>Labels!B45</f>
        <v>Shock_Cutoff</v>
      </c>
      <c r="BK3" t="s">
        <v>229</v>
      </c>
      <c r="BL3" t="str">
        <f>Labels!E45</f>
        <v>The limit in outliers for random shocks, expressed in terms of the cumulative tail probability below which shocks are not allowed.</v>
      </c>
    </row>
    <row r="4" spans="1:64" ht="12.75" customHeight="1" x14ac:dyDescent="0.2">
      <c r="A4" t="s">
        <v>185</v>
      </c>
      <c r="B4">
        <f>Labels!B6</f>
        <v>40179</v>
      </c>
    </row>
    <row r="5" spans="1:64" ht="12.75" customHeight="1" x14ac:dyDescent="0.2">
      <c r="A5" t="s">
        <v>313</v>
      </c>
      <c r="B5">
        <f>Graphs!A1</f>
        <v>0</v>
      </c>
      <c r="C5" t="s">
        <v>258</v>
      </c>
      <c r="D5" t="str">
        <f>Inputs!A1</f>
        <v>Equilibrium Economy with Shocks</v>
      </c>
      <c r="E5" t="s">
        <v>258</v>
      </c>
      <c r="F5" t="str">
        <f>Demand!A1</f>
        <v>Equilibrium Economy with Shocks</v>
      </c>
      <c r="G5" t="s">
        <v>258</v>
      </c>
      <c r="H5" t="str">
        <f>Capital!A1</f>
        <v>Equilibrium Economy with Shocks</v>
      </c>
      <c r="I5" t="s">
        <v>258</v>
      </c>
      <c r="J5" t="str">
        <f>Employment!A1</f>
        <v>Equilibrium Economy with Shocks</v>
      </c>
      <c r="K5" t="s">
        <v>258</v>
      </c>
      <c r="L5" t="str">
        <f>Income!A1</f>
        <v>Equilibrium Economy with Shocks</v>
      </c>
      <c r="M5" t="s">
        <v>258</v>
      </c>
      <c r="N5" t="str">
        <f>Output!A1</f>
        <v>Equilibrium Economy with Shocks</v>
      </c>
      <c r="O5" t="s">
        <v>258</v>
      </c>
      <c r="P5" t="str">
        <f>Gov!A1</f>
        <v>Equilibrium Economy with Shocks</v>
      </c>
      <c r="Q5" t="s">
        <v>258</v>
      </c>
      <c r="R5" t="str">
        <f>Shocks!A1</f>
        <v>Equilibrium Economy with Shocks</v>
      </c>
      <c r="S5" t="s">
        <v>258</v>
      </c>
      <c r="T5" t="str">
        <f>Formulas!A1</f>
        <v>Equilibrium Economy with Shocks</v>
      </c>
      <c r="U5" t="s">
        <v>258</v>
      </c>
      <c r="V5" t="str">
        <f>'(Intermediate Computations)'!A1</f>
        <v>Equilibrium Economy with Shocks</v>
      </c>
      <c r="W5" t="s">
        <v>258</v>
      </c>
      <c r="X5" t="str">
        <f>'(Other Computations)'!A1</f>
        <v>Equilibrium Economy with Shocks</v>
      </c>
      <c r="Y5" t="s">
        <v>258</v>
      </c>
      <c r="Z5" t="str">
        <f>Labels!A1</f>
        <v>Equilibrium Economy with Shocks</v>
      </c>
      <c r="AA5" t="s">
        <v>258</v>
      </c>
      <c r="AB5" t="str">
        <f>ZZZ__FnCalls!A1</f>
        <v>Equilibrium Economy with Shocks</v>
      </c>
      <c r="AC5" t="s">
        <v>258</v>
      </c>
      <c r="AD5">
        <f ca="1">ZZZ_Ranges!A1</f>
        <v>1164194.6093627189</v>
      </c>
      <c r="AE5" t="s">
        <v>258</v>
      </c>
      <c r="AF5" t="str">
        <f>ZZZ_Import!A1</f>
        <v>:A:0:Employment</v>
      </c>
    </row>
    <row r="6" spans="1:64" ht="12.75" customHeight="1" x14ac:dyDescent="0.2">
      <c r="A6" t="s">
        <v>32</v>
      </c>
      <c r="B6" t="str">
        <f>Inputs!B8</f>
        <v>Test Model</v>
      </c>
      <c r="C6" t="s">
        <v>200</v>
      </c>
      <c r="D6">
        <f>Inputs!B13</f>
        <v>3</v>
      </c>
      <c r="E6" t="s">
        <v>49</v>
      </c>
      <c r="F6">
        <f>Inputs!B14</f>
        <v>0.5</v>
      </c>
      <c r="G6" t="s">
        <v>74</v>
      </c>
      <c r="H6">
        <f>Inputs!B19</f>
        <v>14</v>
      </c>
      <c r="I6" t="s">
        <v>198</v>
      </c>
      <c r="J6">
        <f>Inputs!B20</f>
        <v>0.25</v>
      </c>
      <c r="K6" t="s">
        <v>212</v>
      </c>
      <c r="L6">
        <f>Inputs!B21</f>
        <v>0.5</v>
      </c>
      <c r="M6" t="s">
        <v>0</v>
      </c>
      <c r="N6">
        <f>Inputs!B22</f>
        <v>3</v>
      </c>
      <c r="O6" t="s">
        <v>274</v>
      </c>
      <c r="P6">
        <f>Inputs!B27</f>
        <v>140</v>
      </c>
      <c r="Q6" t="s">
        <v>241</v>
      </c>
      <c r="R6">
        <f>Inputs!B28</f>
        <v>0.4</v>
      </c>
      <c r="S6" t="s">
        <v>261</v>
      </c>
      <c r="T6">
        <f>Inputs!B29</f>
        <v>0.75</v>
      </c>
      <c r="U6" t="s">
        <v>310</v>
      </c>
      <c r="V6">
        <f>Inputs!B34</f>
        <v>0.78</v>
      </c>
      <c r="W6" t="s">
        <v>320</v>
      </c>
      <c r="X6">
        <f>Inputs!B35</f>
        <v>2.5</v>
      </c>
      <c r="Y6" t="s">
        <v>64</v>
      </c>
      <c r="Z6">
        <f>Inputs!B40</f>
        <v>14000000</v>
      </c>
      <c r="AA6" t="s">
        <v>173</v>
      </c>
      <c r="AB6">
        <f>Inputs!B45</f>
        <v>0.03</v>
      </c>
      <c r="AC6" t="s">
        <v>84</v>
      </c>
      <c r="AD6">
        <f>Inputs!B50</f>
        <v>0.2</v>
      </c>
      <c r="AE6" t="s">
        <v>11</v>
      </c>
      <c r="AF6">
        <f>Inputs!B51</f>
        <v>0.1</v>
      </c>
      <c r="AG6" t="s">
        <v>94</v>
      </c>
      <c r="AH6">
        <f>Inputs!B52</f>
        <v>0.30000000000000004</v>
      </c>
      <c r="AI6" t="s">
        <v>305</v>
      </c>
      <c r="AJ6">
        <f>Inputs!B57</f>
        <v>0.1</v>
      </c>
      <c r="AK6" t="s">
        <v>147</v>
      </c>
      <c r="AL6">
        <f>Inputs!B58</f>
        <v>0.03</v>
      </c>
    </row>
  </sheetData>
  <pageMargins left="0.75" right="0.75" top="1" bottom="1" header="0.5" footer="0.5"/>
  <pageSetup paperSize="9"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8"/>
  <sheetViews>
    <sheetView workbookViewId="0"/>
  </sheetViews>
  <sheetFormatPr defaultColWidth="9.140625" defaultRowHeight="12.75" x14ac:dyDescent="0.2"/>
  <sheetData>
    <row r="28" spans="3:3" x14ac:dyDescent="0.2">
      <c r="C28" s="1"/>
    </row>
  </sheetData>
  <printOptions horizontalCentered="1"/>
  <pageMargins left="0.25" right="0.25" top="0.5" bottom="0.5" header="0.25" footer="0.25"/>
  <pageSetup orientation="landscape"/>
  <headerFooter alignWithMargins="0">
    <oddFooter>&amp;C</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60"/>
  <sheetViews>
    <sheetView workbookViewId="0"/>
  </sheetViews>
  <sheetFormatPr defaultRowHeight="12.75" customHeight="1" outlineLevelRow="1" x14ac:dyDescent="0.2"/>
  <cols>
    <col min="1" max="1" width="24.42578125" customWidth="1"/>
    <col min="2" max="2" width="10.5703125" customWidth="1"/>
  </cols>
  <sheetData>
    <row r="1" spans="1:5" ht="12.75" customHeight="1" x14ac:dyDescent="0.2">
      <c r="A1" s="112" t="str">
        <f>"Equilibrium Economy with Shocks"</f>
        <v>Equilibrium Economy with Shocks</v>
      </c>
      <c r="B1" s="112"/>
      <c r="C1" s="112"/>
    </row>
    <row r="2" spans="1:5" ht="12.75" customHeight="1" x14ac:dyDescent="0.2">
      <c r="A2" s="112" t="str">
        <f>"Model: "&amp;B8</f>
        <v>Model: Test Model</v>
      </c>
      <c r="B2" s="112"/>
      <c r="C2" s="112"/>
    </row>
    <row r="3" spans="1:5" ht="12.75" customHeight="1" x14ac:dyDescent="0.2">
      <c r="A3" s="112" t="str">
        <f>"$ millions"</f>
        <v>$ millions</v>
      </c>
      <c r="B3" s="112"/>
      <c r="C3" s="112"/>
    </row>
    <row r="4" spans="1:5" ht="12.75" customHeight="1" x14ac:dyDescent="0.2">
      <c r="A4" s="112" t="str">
        <f>"Inputs"</f>
        <v>Inputs</v>
      </c>
      <c r="B4" s="112"/>
      <c r="C4" s="112"/>
    </row>
    <row r="5" spans="1:5" ht="12.75" customHeight="1" x14ac:dyDescent="0.2">
      <c r="A5" s="112" t="str">
        <f>""</f>
        <v/>
      </c>
      <c r="B5" s="112"/>
      <c r="C5" s="112"/>
    </row>
    <row r="6" spans="1:5" ht="12.75" customHeight="1" x14ac:dyDescent="0.2">
      <c r="A6" s="110" t="str">
        <f>"Shaded cells are input cells. You can enter data in them."</f>
        <v>Shaded cells are input cells. You can enter data in them.</v>
      </c>
      <c r="B6" s="110"/>
      <c r="C6" s="110"/>
      <c r="D6" s="110"/>
      <c r="E6" s="110"/>
    </row>
    <row r="7" spans="1:5" ht="12.75" customHeight="1" x14ac:dyDescent="0.2">
      <c r="A7" s="110" t="str">
        <f>"Excel formulas in shaded cells are starting suggestions. You can overwrite them."</f>
        <v>Excel formulas in shaded cells are starting suggestions. You can overwrite them.</v>
      </c>
      <c r="B7" s="110"/>
      <c r="C7" s="110"/>
      <c r="D7" s="110"/>
      <c r="E7" s="110"/>
    </row>
    <row r="8" spans="1:5" ht="12.75" customHeight="1" x14ac:dyDescent="0.2">
      <c r="A8" s="5" t="str">
        <f>Labels!B37</f>
        <v>Model Name</v>
      </c>
      <c r="B8" s="6" t="s">
        <v>238</v>
      </c>
    </row>
    <row r="11" spans="1:5" ht="12.75" customHeight="1" x14ac:dyDescent="0.2">
      <c r="A11" s="3" t="str">
        <f>"Demand"</f>
        <v>Demand</v>
      </c>
    </row>
    <row r="12" spans="1:5" ht="12.75" hidden="1" customHeight="1" outlineLevel="1" x14ac:dyDescent="0.2">
      <c r="A12" s="2" t="str">
        <f>" "</f>
        <v xml:space="preserve"> </v>
      </c>
    </row>
    <row r="13" spans="1:5" ht="12.75" hidden="1" customHeight="1" outlineLevel="1" x14ac:dyDescent="0.2">
      <c r="A13" s="7" t="str">
        <f>Labels!B55</f>
        <v>Time Smooth Long Demand</v>
      </c>
      <c r="B13" s="8">
        <v>3</v>
      </c>
    </row>
    <row r="14" spans="1:5" ht="12.75" hidden="1" customHeight="1" outlineLevel="1" x14ac:dyDescent="0.2">
      <c r="A14" s="9" t="str">
        <f>Labels!B56</f>
        <v>Time Smooth Short Demand</v>
      </c>
      <c r="B14" s="10">
        <v>0.5</v>
      </c>
    </row>
    <row r="15" spans="1:5" ht="12.75" hidden="1" customHeight="1" outlineLevel="1" collapsed="1" x14ac:dyDescent="0.2"/>
    <row r="16" spans="1:5" ht="12.75" customHeight="1" collapsed="1" x14ac:dyDescent="0.2"/>
    <row r="17" spans="1:2" ht="12.75" customHeight="1" x14ac:dyDescent="0.2">
      <c r="A17" s="3" t="str">
        <f>"Capital"</f>
        <v>Capital</v>
      </c>
    </row>
    <row r="18" spans="1:2" ht="12.75" hidden="1" customHeight="1" outlineLevel="1" x14ac:dyDescent="0.2">
      <c r="A18" s="2" t="str">
        <f>" "</f>
        <v xml:space="preserve"> </v>
      </c>
    </row>
    <row r="19" spans="1:2" ht="12.75" hidden="1" customHeight="1" outlineLevel="1" x14ac:dyDescent="0.2">
      <c r="A19" s="7" t="str">
        <f>Labels!B10</f>
        <v>Avg Life Capital</v>
      </c>
      <c r="B19" s="8">
        <v>14</v>
      </c>
    </row>
    <row r="20" spans="1:2" ht="12.75" hidden="1" customHeight="1" outlineLevel="1" x14ac:dyDescent="0.2">
      <c r="A20" s="11" t="str">
        <f>Labels!B14</f>
        <v>Capital Exponent</v>
      </c>
      <c r="B20" s="12">
        <v>0.25</v>
      </c>
    </row>
    <row r="21" spans="1:2" ht="12.75" hidden="1" customHeight="1" outlineLevel="1" x14ac:dyDescent="0.2">
      <c r="A21" s="11" t="str">
        <f>Labels!B26</f>
        <v>Flexibility Capacity Utilization</v>
      </c>
      <c r="B21" s="12">
        <v>0.5</v>
      </c>
    </row>
    <row r="22" spans="1:2" ht="12.75" hidden="1" customHeight="1" outlineLevel="1" x14ac:dyDescent="0.2">
      <c r="A22" s="9" t="str">
        <f>Labels!B52</f>
        <v>Time Adjust Capital</v>
      </c>
      <c r="B22" s="10">
        <v>3</v>
      </c>
    </row>
    <row r="23" spans="1:2" ht="12.75" hidden="1" customHeight="1" outlineLevel="1" collapsed="1" x14ac:dyDescent="0.2"/>
    <row r="24" spans="1:2" ht="12.75" customHeight="1" collapsed="1" x14ac:dyDescent="0.2"/>
    <row r="25" spans="1:2" ht="12.75" customHeight="1" x14ac:dyDescent="0.2">
      <c r="A25" s="3" t="str">
        <f>"Employment"</f>
        <v>Employment</v>
      </c>
    </row>
    <row r="26" spans="1:2" ht="12.75" hidden="1" customHeight="1" outlineLevel="1" x14ac:dyDescent="0.2">
      <c r="A26" s="2" t="str">
        <f>" "</f>
        <v xml:space="preserve"> </v>
      </c>
    </row>
    <row r="27" spans="1:2" ht="12.75" hidden="1" customHeight="1" outlineLevel="1" x14ac:dyDescent="0.2">
      <c r="A27" s="7" t="str">
        <f>Labels!B24</f>
        <v>Equilibrium Employment</v>
      </c>
      <c r="B27" s="8">
        <v>140</v>
      </c>
    </row>
    <row r="28" spans="1:2" ht="12.75" hidden="1" customHeight="1" outlineLevel="1" x14ac:dyDescent="0.2">
      <c r="A28" s="11" t="str">
        <f>Labels!B53</f>
        <v>Time Adjust Employment</v>
      </c>
      <c r="B28" s="12">
        <v>0.4</v>
      </c>
    </row>
    <row r="29" spans="1:2" ht="12.75" hidden="1" customHeight="1" outlineLevel="1" x14ac:dyDescent="0.2">
      <c r="A29" s="9" t="str">
        <f>Labels!B43</f>
        <v>Equilibrium Real Wage %</v>
      </c>
      <c r="B29" s="13">
        <v>0.75</v>
      </c>
    </row>
    <row r="30" spans="1:2" ht="12.75" hidden="1" customHeight="1" outlineLevel="1" collapsed="1" x14ac:dyDescent="0.2"/>
    <row r="31" spans="1:2" ht="12.75" customHeight="1" collapsed="1" x14ac:dyDescent="0.2"/>
    <row r="32" spans="1:2" ht="12.75" customHeight="1" x14ac:dyDescent="0.2">
      <c r="A32" s="3" t="str">
        <f>"Income"</f>
        <v>Income</v>
      </c>
    </row>
    <row r="33" spans="1:2" ht="12.75" hidden="1" customHeight="1" outlineLevel="1" x14ac:dyDescent="0.2">
      <c r="A33" s="2" t="str">
        <f>" "</f>
        <v xml:space="preserve"> </v>
      </c>
    </row>
    <row r="34" spans="1:2" ht="12.75" hidden="1" customHeight="1" outlineLevel="1" x14ac:dyDescent="0.2">
      <c r="A34" s="7" t="str">
        <f>Labels!B17</f>
        <v>Avg Propensity Consume</v>
      </c>
      <c r="B34" s="14">
        <v>0.78</v>
      </c>
    </row>
    <row r="35" spans="1:2" ht="12.75" hidden="1" customHeight="1" outlineLevel="1" x14ac:dyDescent="0.2">
      <c r="A35" s="9" t="str">
        <f>Labels!B54</f>
        <v>Time Smooth Income</v>
      </c>
      <c r="B35" s="10">
        <v>2.5</v>
      </c>
    </row>
    <row r="36" spans="1:2" ht="12.75" hidden="1" customHeight="1" outlineLevel="1" collapsed="1" x14ac:dyDescent="0.2"/>
    <row r="37" spans="1:2" ht="12.75" customHeight="1" collapsed="1" x14ac:dyDescent="0.2"/>
    <row r="38" spans="1:2" ht="12.75" customHeight="1" x14ac:dyDescent="0.2">
      <c r="A38" s="3" t="str">
        <f>"Output"</f>
        <v>Output</v>
      </c>
    </row>
    <row r="39" spans="1:2" ht="12.75" hidden="1" customHeight="1" outlineLevel="1" x14ac:dyDescent="0.2">
      <c r="A39" s="2" t="str">
        <f>" "</f>
        <v xml:space="preserve"> </v>
      </c>
    </row>
    <row r="40" spans="1:2" ht="12.75" hidden="1" customHeight="1" outlineLevel="1" x14ac:dyDescent="0.2">
      <c r="A40" s="5" t="str">
        <f>Labels!B40</f>
        <v>Equilibrium Annual Output</v>
      </c>
      <c r="B40" s="15">
        <f>14*10^6</f>
        <v>14000000</v>
      </c>
    </row>
    <row r="41" spans="1:2" ht="12.75" hidden="1" customHeight="1" outlineLevel="1" collapsed="1" x14ac:dyDescent="0.2"/>
    <row r="42" spans="1:2" ht="12.75" customHeight="1" collapsed="1" x14ac:dyDescent="0.2"/>
    <row r="43" spans="1:2" ht="12.75" customHeight="1" x14ac:dyDescent="0.2">
      <c r="A43" s="3" t="str">
        <f>"Money and Prices"</f>
        <v>Money and Prices</v>
      </c>
    </row>
    <row r="44" spans="1:2" ht="12.75" hidden="1" customHeight="1" outlineLevel="1" x14ac:dyDescent="0.2">
      <c r="A44" s="110" t="str">
        <f>" "</f>
        <v xml:space="preserve"> </v>
      </c>
      <c r="B44" s="110"/>
    </row>
    <row r="45" spans="1:2" ht="12.75" hidden="1" customHeight="1" outlineLevel="1" x14ac:dyDescent="0.2">
      <c r="A45" s="5" t="str">
        <f>Labels!B36</f>
        <v>Long Annual Interest Rate</v>
      </c>
      <c r="B45" s="16">
        <v>0.03</v>
      </c>
    </row>
    <row r="46" spans="1:2" ht="12.75" hidden="1" customHeight="1" outlineLevel="1" collapsed="1" x14ac:dyDescent="0.2"/>
    <row r="47" spans="1:2" ht="12.75" customHeight="1" collapsed="1" x14ac:dyDescent="0.2"/>
    <row r="48" spans="1:2" ht="12.75" customHeight="1" x14ac:dyDescent="0.2">
      <c r="A48" s="3" t="str">
        <f>"Government"</f>
        <v>Government</v>
      </c>
    </row>
    <row r="49" spans="1:2" ht="12.75" hidden="1" customHeight="1" outlineLevel="1" x14ac:dyDescent="0.2">
      <c r="A49" s="2" t="str">
        <f>" "</f>
        <v xml:space="preserve"> </v>
      </c>
    </row>
    <row r="50" spans="1:2" ht="12.75" hidden="1" customHeight="1" outlineLevel="1" x14ac:dyDescent="0.2">
      <c r="A50" s="7" t="str">
        <f>Labels!B28</f>
        <v>Equilibrium Gov Spend %</v>
      </c>
      <c r="B50" s="14">
        <v>0.2</v>
      </c>
    </row>
    <row r="51" spans="1:2" ht="12.75" hidden="1" customHeight="1" outlineLevel="1" x14ac:dyDescent="0.2">
      <c r="A51" s="11" t="str">
        <f>Labels!B32</f>
        <v>Equilibrium Gov Transfers %</v>
      </c>
      <c r="B51" s="17">
        <v>0.1</v>
      </c>
    </row>
    <row r="52" spans="1:2" ht="12.75" hidden="1" customHeight="1" outlineLevel="1" x14ac:dyDescent="0.2">
      <c r="A52" s="9" t="str">
        <f>Labels!B50</f>
        <v>Tax Rate</v>
      </c>
      <c r="B52" s="13">
        <f>(Gov!B13+Gov!B16)/Output!B13</f>
        <v>0.30000000000000004</v>
      </c>
    </row>
    <row r="53" spans="1:2" ht="12.75" hidden="1" customHeight="1" outlineLevel="1" collapsed="1" x14ac:dyDescent="0.2"/>
    <row r="54" spans="1:2" ht="12.75" customHeight="1" collapsed="1" x14ac:dyDescent="0.2"/>
    <row r="55" spans="1:2" ht="12.75" customHeight="1" x14ac:dyDescent="0.2">
      <c r="A55" s="111" t="str">
        <f>"Stochastic Shocks"</f>
        <v>Stochastic Shocks</v>
      </c>
      <c r="B55" s="111"/>
    </row>
    <row r="56" spans="1:2" ht="12.75" hidden="1" customHeight="1" outlineLevel="1" x14ac:dyDescent="0.2">
      <c r="A56" s="110" t="str">
        <f>" "</f>
        <v xml:space="preserve"> </v>
      </c>
      <c r="B56" s="110"/>
    </row>
    <row r="57" spans="1:2" ht="12.75" hidden="1" customHeight="1" outlineLevel="1" x14ac:dyDescent="0.2">
      <c r="A57" s="7" t="str">
        <f>Labels!B48</f>
        <v>Shock Std Deviation %</v>
      </c>
      <c r="B57" s="14">
        <v>0.1</v>
      </c>
    </row>
    <row r="58" spans="1:2" ht="12.75" hidden="1" customHeight="1" outlineLevel="1" x14ac:dyDescent="0.2">
      <c r="A58" s="9" t="str">
        <f>Labels!B45</f>
        <v>Shock_Cutoff</v>
      </c>
      <c r="B58" s="18">
        <v>0.03</v>
      </c>
    </row>
    <row r="59" spans="1:2" ht="12.75" hidden="1" customHeight="1" outlineLevel="1" collapsed="1" x14ac:dyDescent="0.2"/>
    <row r="60" spans="1:2" ht="12.75" customHeight="1" collapsed="1" x14ac:dyDescent="0.2"/>
  </sheetData>
  <mergeCells count="10">
    <mergeCell ref="A7:E7"/>
    <mergeCell ref="A44:B44"/>
    <mergeCell ref="A55:B55"/>
    <mergeCell ref="A56:B56"/>
    <mergeCell ref="A1:C1"/>
    <mergeCell ref="A2:C2"/>
    <mergeCell ref="A3:C3"/>
    <mergeCell ref="A4:C4"/>
    <mergeCell ref="A5:C5"/>
    <mergeCell ref="A6:E6"/>
  </mergeCells>
  <pageMargins left="0.75" right="0.75" top="1" bottom="1" header="0.5" footer="0.5"/>
  <pageSetup paperSize="9"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22"/>
  <sheetViews>
    <sheetView workbookViewId="0"/>
  </sheetViews>
  <sheetFormatPr defaultRowHeight="12.75" customHeight="1" x14ac:dyDescent="0.2"/>
  <cols>
    <col min="1" max="1" width="23.42578125" customWidth="1"/>
    <col min="2" max="13" width="9.7109375" customWidth="1"/>
    <col min="14" max="14" width="10.5703125" customWidth="1"/>
    <col min="15" max="26" width="9.7109375" customWidth="1"/>
    <col min="27" max="27" width="10.5703125" customWidth="1"/>
    <col min="28" max="39" width="9.7109375" customWidth="1"/>
    <col min="40" max="40" width="10.5703125" customWidth="1"/>
    <col min="41" max="52" width="9.7109375" customWidth="1"/>
    <col min="53" max="53" width="10.5703125" customWidth="1"/>
    <col min="54" max="65" width="9.7109375" customWidth="1"/>
    <col min="66" max="66" width="10.5703125" customWidth="1"/>
    <col min="67" max="78" width="9.7109375" customWidth="1"/>
    <col min="79" max="79" width="10.5703125" customWidth="1"/>
    <col min="80" max="91" width="9.7109375" customWidth="1"/>
    <col min="92" max="92" width="10.5703125" customWidth="1"/>
    <col min="93" max="104" width="9.7109375" customWidth="1"/>
    <col min="105" max="105" width="10.5703125" customWidth="1"/>
    <col min="106" max="117" width="9.7109375" customWidth="1"/>
    <col min="118" max="118" width="10.5703125" customWidth="1"/>
    <col min="119" max="130" width="9.7109375" customWidth="1"/>
    <col min="131" max="131" width="10.5703125" customWidth="1"/>
    <col min="132" max="143" width="9.7109375" customWidth="1"/>
    <col min="144" max="144" width="10.570312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"Demand"</f>
        <v>Demand</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Labels!B18</f>
        <v>Aggregate Demand</v>
      </c>
      <c r="B7" s="22">
        <f ca="1">Income!B11+0+B9</f>
        <v>1164194.6093627189</v>
      </c>
      <c r="C7" s="22">
        <f ca="1">Income!C11+0+C9</f>
        <v>1135446.6301679909</v>
      </c>
      <c r="D7" s="22">
        <f ca="1">Income!D11+0+D9</f>
        <v>1214554.7919434898</v>
      </c>
      <c r="E7" s="22">
        <f ca="1">Income!E11+0+E9</f>
        <v>1223487.7003406808</v>
      </c>
      <c r="F7" s="22">
        <f ca="1">Income!F11+0+F9</f>
        <v>1113027.4638293157</v>
      </c>
      <c r="G7" s="22">
        <f ca="1">Income!G11+0+G9</f>
        <v>1173169.3144578894</v>
      </c>
      <c r="H7" s="22">
        <f ca="1">Income!H11+0+H9</f>
        <v>1157034.8915199924</v>
      </c>
      <c r="I7" s="22">
        <f ca="1">Income!I11+0+I9</f>
        <v>1175444.2627819807</v>
      </c>
      <c r="J7" s="22">
        <f ca="1">Income!J11+0+J9</f>
        <v>1190233.8972580405</v>
      </c>
      <c r="K7" s="22">
        <f ca="1">Income!K11+0+K9</f>
        <v>1172214.7904521443</v>
      </c>
      <c r="L7" s="22">
        <f ca="1">Income!L11+0+L9</f>
        <v>1181515.8113526006</v>
      </c>
      <c r="M7" s="22">
        <f ca="1">Income!M11+0+M9</f>
        <v>1184015.9827790014</v>
      </c>
      <c r="N7" s="23">
        <f ca="1">SUM(B7:M7)</f>
        <v>14084340.146245848</v>
      </c>
      <c r="O7" s="22">
        <f ca="1">Income!O11+0+O9</f>
        <v>1149696.7973344955</v>
      </c>
      <c r="P7" s="22">
        <f ca="1">Income!P11+0+P9</f>
        <v>1215984.753945597</v>
      </c>
      <c r="Q7" s="22">
        <f ca="1">Income!Q11+0+Q9</f>
        <v>1128503.596931061</v>
      </c>
      <c r="R7" s="22">
        <f ca="1">Income!R11+0+R9</f>
        <v>1198880.1400139483</v>
      </c>
      <c r="S7" s="22">
        <f ca="1">Income!S11+0+S9</f>
        <v>1218255.8491281816</v>
      </c>
      <c r="T7" s="22">
        <f ca="1">Income!T11+0+T9</f>
        <v>1226548.2369190571</v>
      </c>
      <c r="U7" s="22">
        <f ca="1">Income!U11+0+U9</f>
        <v>1106292.1680222922</v>
      </c>
      <c r="V7" s="22">
        <f ca="1">Income!V11+0+V9</f>
        <v>1172752.2384466191</v>
      </c>
      <c r="W7" s="22">
        <f ca="1">Income!W11+0+W9</f>
        <v>1208910.7179122134</v>
      </c>
      <c r="X7" s="22">
        <f ca="1">Income!X11+0+X9</f>
        <v>1113692.4094866507</v>
      </c>
      <c r="Y7" s="22">
        <f ca="1">Income!Y11+0+Y9</f>
        <v>1185913.6864196435</v>
      </c>
      <c r="Z7" s="22">
        <f ca="1">Income!Z11+0+Z9</f>
        <v>1166619.4046556444</v>
      </c>
      <c r="AA7" s="23">
        <f ca="1">SUM(O7:Z7)</f>
        <v>14092049.999215404</v>
      </c>
      <c r="AB7" s="22">
        <f ca="1">Income!AB11+0+AB9</f>
        <v>1197530.7659338592</v>
      </c>
      <c r="AC7" s="22">
        <f ca="1">Income!AC11+0+AC9</f>
        <v>1204944.9360879213</v>
      </c>
      <c r="AD7" s="22">
        <f ca="1">Income!AD11+0+AD9</f>
        <v>1185958.1017626247</v>
      </c>
      <c r="AE7" s="22">
        <f ca="1">Income!AE11+0+AE9</f>
        <v>1209828.6760905217</v>
      </c>
      <c r="AF7" s="22">
        <f ca="1">Income!AF11+0+AF9</f>
        <v>1209876.2248047583</v>
      </c>
      <c r="AG7" s="22">
        <f ca="1">Income!AG11+0+AG9</f>
        <v>1162174.4854315633</v>
      </c>
      <c r="AH7" s="22">
        <f ca="1">Income!AH11+0+AH9</f>
        <v>1150232.1753781897</v>
      </c>
      <c r="AI7" s="22">
        <f ca="1">Income!AI11+0+AI9</f>
        <v>1148167.163364216</v>
      </c>
      <c r="AJ7" s="22">
        <f ca="1">Income!AJ11+0+AJ9</f>
        <v>1201850.0054386791</v>
      </c>
      <c r="AK7" s="22">
        <f ca="1">Income!AK11+0+AK9</f>
        <v>1133459.5376616486</v>
      </c>
      <c r="AL7" s="22">
        <f ca="1">Income!AL11+0+AL9</f>
        <v>1168894.6207152782</v>
      </c>
      <c r="AM7" s="22">
        <f ca="1">Income!AM11+0+AM9</f>
        <v>1154326.2995966934</v>
      </c>
      <c r="AN7" s="23">
        <f ca="1">SUM(AB7:AM7)</f>
        <v>14127242.992265955</v>
      </c>
      <c r="AO7" s="22">
        <f ca="1">Income!AO11+0+AO9</f>
        <v>1162403.599162431</v>
      </c>
      <c r="AP7" s="22">
        <f ca="1">Income!AP11+0+AP9</f>
        <v>1168925.2757912083</v>
      </c>
      <c r="AQ7" s="22">
        <f ca="1">Income!AQ11+0+AQ9</f>
        <v>1129578.787956614</v>
      </c>
      <c r="AR7" s="22">
        <f ca="1">Income!AR11+0+AR9</f>
        <v>1181213.4474358158</v>
      </c>
      <c r="AS7" s="22">
        <f ca="1">Income!AS11+0+AS9</f>
        <v>1158613.5169092421</v>
      </c>
      <c r="AT7" s="22">
        <f ca="1">Income!AT11+0+AT9</f>
        <v>1185109.8047856644</v>
      </c>
      <c r="AU7" s="22">
        <f ca="1">Income!AU11+0+AU9</f>
        <v>1189923.0994887273</v>
      </c>
      <c r="AV7" s="22">
        <f ca="1">Income!AV11+0+AV9</f>
        <v>1175242.2259775393</v>
      </c>
      <c r="AW7" s="22">
        <f ca="1">Income!AW11+0+AW9</f>
        <v>1219461.6531161636</v>
      </c>
      <c r="AX7" s="22">
        <f ca="1">Income!AX11+0+AX9</f>
        <v>1137936.9661714355</v>
      </c>
      <c r="AY7" s="22">
        <f ca="1">Income!AY11+0+AY9</f>
        <v>1132058.161028753</v>
      </c>
      <c r="AZ7" s="22">
        <f ca="1">Income!AZ11+0+AZ9</f>
        <v>1216194.0254576534</v>
      </c>
      <c r="BA7" s="23">
        <f ca="1">SUM(AO7:AZ7)</f>
        <v>14056660.563281249</v>
      </c>
      <c r="BB7" s="22">
        <f ca="1">Income!BB11+0+BB9</f>
        <v>1220249.8791710564</v>
      </c>
      <c r="BC7" s="22">
        <f ca="1">Income!BC11+0+BC9</f>
        <v>1139788.091947814</v>
      </c>
      <c r="BD7" s="22">
        <f ca="1">Income!BD11+0+BD9</f>
        <v>1140476.0606792141</v>
      </c>
      <c r="BE7" s="22">
        <f ca="1">Income!BE11+0+BE9</f>
        <v>1179952.4908625502</v>
      </c>
      <c r="BF7" s="22">
        <f ca="1">Income!BF11+0+BF9</f>
        <v>1128409.198797636</v>
      </c>
      <c r="BG7" s="22">
        <f ca="1">Income!BG11+0+BG9</f>
        <v>1146570.3394741281</v>
      </c>
      <c r="BH7" s="22">
        <f ca="1">Income!BH11+0+BH9</f>
        <v>1164436.876481218</v>
      </c>
      <c r="BI7" s="22">
        <f ca="1">Income!BI11+0+BI9</f>
        <v>1148371.4524730961</v>
      </c>
      <c r="BJ7" s="22">
        <f ca="1">Income!BJ11+0+BJ9</f>
        <v>1216640.8898219047</v>
      </c>
      <c r="BK7" s="22">
        <f ca="1">Income!BK11+0+BK9</f>
        <v>1138784.8629630518</v>
      </c>
      <c r="BL7" s="22">
        <f ca="1">Income!BL11+0+BL9</f>
        <v>1213930.4085995792</v>
      </c>
      <c r="BM7" s="22">
        <f ca="1">Income!BM11+0+BM9</f>
        <v>1118354.5412439101</v>
      </c>
      <c r="BN7" s="23">
        <f ca="1">SUM(BB7:BM7)</f>
        <v>13955965.092515159</v>
      </c>
      <c r="BO7" s="22">
        <f ca="1">Income!BO11+0+BO9</f>
        <v>1201173.5978802014</v>
      </c>
      <c r="BP7" s="22">
        <f ca="1">Income!BP11+0+BP9</f>
        <v>1217142.0863003843</v>
      </c>
      <c r="BQ7" s="22">
        <f ca="1">Income!BQ11+0+BQ9</f>
        <v>1161090.7728496732</v>
      </c>
      <c r="BR7" s="22">
        <f ca="1">Income!BR11+0+BR9</f>
        <v>1138913.4657687242</v>
      </c>
      <c r="BS7" s="22">
        <f ca="1">Income!BS11+0+BS9</f>
        <v>1228997.9281346481</v>
      </c>
      <c r="BT7" s="22">
        <f ca="1">Income!BT11+0+BT9</f>
        <v>1137977.6116326309</v>
      </c>
      <c r="BU7" s="22">
        <f ca="1">Income!BU11+0+BU9</f>
        <v>1204271.5055284079</v>
      </c>
      <c r="BV7" s="22">
        <f ca="1">Income!BV11+0+BV9</f>
        <v>1188234.1052356851</v>
      </c>
      <c r="BW7" s="22">
        <f ca="1">Income!BW11+0+BW9</f>
        <v>1213148.7528817495</v>
      </c>
      <c r="BX7" s="22">
        <f ca="1">Income!BX11+0+BX9</f>
        <v>1159269.0809929755</v>
      </c>
      <c r="BY7" s="22">
        <f ca="1">Income!BY11+0+BY9</f>
        <v>1129139.7024209136</v>
      </c>
      <c r="BZ7" s="22">
        <f ca="1">Income!BZ11+0+BZ9</f>
        <v>1174924.8072838048</v>
      </c>
      <c r="CA7" s="23">
        <f ca="1">SUM(BO7:BZ7)</f>
        <v>14154283.416909799</v>
      </c>
      <c r="CB7" s="22">
        <f ca="1">Income!CB11+0+CB9</f>
        <v>1153954.6377977023</v>
      </c>
      <c r="CC7" s="22">
        <f ca="1">Income!CC11+0+CC9</f>
        <v>1152171.3466472989</v>
      </c>
      <c r="CD7" s="22">
        <f ca="1">Income!CD11+0+CD9</f>
        <v>1153829.5294732377</v>
      </c>
      <c r="CE7" s="22">
        <f ca="1">Income!CE11+0+CE9</f>
        <v>1160212.4957748288</v>
      </c>
      <c r="CF7" s="22">
        <f ca="1">Income!CF11+0+CF9</f>
        <v>1193748.8729487087</v>
      </c>
      <c r="CG7" s="22">
        <f ca="1">Income!CG11+0+CG9</f>
        <v>1148556.6741591352</v>
      </c>
      <c r="CH7" s="22">
        <f ca="1">Income!CH11+0+CH9</f>
        <v>1137782.7331064034</v>
      </c>
      <c r="CI7" s="22">
        <f ca="1">Income!CI11+0+CI9</f>
        <v>1135047.0539237044</v>
      </c>
      <c r="CJ7" s="22">
        <f ca="1">Income!CJ11+0+CJ9</f>
        <v>1164395.9387508905</v>
      </c>
      <c r="CK7" s="22">
        <f ca="1">Income!CK11+0+CK9</f>
        <v>1132184.770534893</v>
      </c>
      <c r="CL7" s="22">
        <f ca="1">Income!CL11+0+CL9</f>
        <v>1195611.4627215394</v>
      </c>
      <c r="CM7" s="22">
        <f ca="1">Income!CM11+0+CM9</f>
        <v>1182476.9280384798</v>
      </c>
      <c r="CN7" s="23">
        <f ca="1">SUM(CB7:CM7)</f>
        <v>13909972.443876823</v>
      </c>
      <c r="CO7" s="22">
        <f ca="1">Income!CO11+0+CO9</f>
        <v>1125260.4382584188</v>
      </c>
      <c r="CP7" s="22">
        <f ca="1">Income!CP11+0+CP9</f>
        <v>1120379.6326846497</v>
      </c>
      <c r="CQ7" s="22">
        <f ca="1">Income!CQ11+0+CQ9</f>
        <v>1140158.119829207</v>
      </c>
      <c r="CR7" s="22">
        <f ca="1">Income!CR11+0+CR9</f>
        <v>1152074.5999986643</v>
      </c>
      <c r="CS7" s="22">
        <f ca="1">Income!CS11+0+CS9</f>
        <v>1147938.113283816</v>
      </c>
      <c r="CT7" s="22">
        <f ca="1">Income!CT11+0+CT9</f>
        <v>1164542.0685719023</v>
      </c>
      <c r="CU7" s="22">
        <f ca="1">Income!CU11+0+CU9</f>
        <v>1196092.4175527373</v>
      </c>
      <c r="CV7" s="22">
        <f ca="1">Income!CV11+0+CV9</f>
        <v>1184309.4342379533</v>
      </c>
      <c r="CW7" s="22">
        <f ca="1">Income!CW11+0+CW9</f>
        <v>1189214.9439645107</v>
      </c>
      <c r="CX7" s="22">
        <f ca="1">Income!CX11+0+CX9</f>
        <v>1151410.5029924619</v>
      </c>
      <c r="CY7" s="22">
        <f ca="1">Income!CY11+0+CY9</f>
        <v>1168061.6173619579</v>
      </c>
      <c r="CZ7" s="22">
        <f ca="1">Income!CZ11+0+CZ9</f>
        <v>1202614.1276766157</v>
      </c>
      <c r="DA7" s="23">
        <f ca="1">SUM(CO7:CZ7)</f>
        <v>13942056.016412895</v>
      </c>
      <c r="DB7" s="22">
        <f ca="1">Income!DB11+0+DB9</f>
        <v>1181695.6733336442</v>
      </c>
      <c r="DC7" s="22">
        <f ca="1">Income!DC11+0+DC9</f>
        <v>1180136.1618927552</v>
      </c>
      <c r="DD7" s="22">
        <f ca="1">Income!DD11+0+DD9</f>
        <v>1117381.7198221006</v>
      </c>
      <c r="DE7" s="22">
        <f ca="1">Income!DE11+0+DE9</f>
        <v>1122428.9751182664</v>
      </c>
      <c r="DF7" s="22">
        <f ca="1">Income!DF11+0+DF9</f>
        <v>1153570.3312372712</v>
      </c>
      <c r="DG7" s="22">
        <f ca="1">Income!DG11+0+DG9</f>
        <v>1176439.3033229995</v>
      </c>
      <c r="DH7" s="22">
        <f ca="1">Income!DH11+0+DH9</f>
        <v>1135677.5191489209</v>
      </c>
      <c r="DI7" s="22">
        <f ca="1">Income!DI11+0+DI9</f>
        <v>1136995.9773489239</v>
      </c>
      <c r="DJ7" s="22">
        <f ca="1">Income!DJ11+0+DJ9</f>
        <v>1175700.4664828915</v>
      </c>
      <c r="DK7" s="22">
        <f ca="1">Income!DK11+0+DK9</f>
        <v>1172873.9514284963</v>
      </c>
      <c r="DL7" s="22">
        <f ca="1">Income!DL11+0+DL9</f>
        <v>1191805.1532780607</v>
      </c>
      <c r="DM7" s="22">
        <f ca="1">Income!DM11+0+DM9</f>
        <v>1106207.5630885356</v>
      </c>
      <c r="DN7" s="23">
        <f ca="1">SUM(DB7:DM7)</f>
        <v>13850912.795502868</v>
      </c>
      <c r="DO7" s="22">
        <f ca="1">Income!DO11+0+DO9</f>
        <v>1181861.5752388816</v>
      </c>
      <c r="DP7" s="22">
        <f ca="1">Income!DP11+0+DP9</f>
        <v>1146714.9531896207</v>
      </c>
      <c r="DQ7" s="22">
        <f ca="1">Income!DQ11+0+DQ9</f>
        <v>1131796.2451573233</v>
      </c>
      <c r="DR7" s="22">
        <f ca="1">Income!DR11+0+DR9</f>
        <v>1193152.3416071103</v>
      </c>
      <c r="DS7" s="22">
        <f ca="1">Income!DS11+0+DS9</f>
        <v>1163774.3114894719</v>
      </c>
      <c r="DT7" s="22">
        <f ca="1">Income!DT11+0+DT9</f>
        <v>1125610.974005762</v>
      </c>
      <c r="DU7" s="22">
        <f ca="1">Income!DU11+0+DU9</f>
        <v>1208971.789994576</v>
      </c>
      <c r="DV7" s="22">
        <f ca="1">Income!DV11+0+DV9</f>
        <v>1184351.9635053542</v>
      </c>
      <c r="DW7" s="22">
        <f ca="1">Income!DW11+0+DW9</f>
        <v>1123131.8371518275</v>
      </c>
      <c r="DX7" s="22">
        <f ca="1">Income!DX11+0+DX9</f>
        <v>1180714.4862408633</v>
      </c>
      <c r="DY7" s="22">
        <f ca="1">Income!DY11+0+DY9</f>
        <v>1172435.4616925668</v>
      </c>
      <c r="DZ7" s="22">
        <f ca="1">Income!DZ11+0+DZ9</f>
        <v>1201792.5413978202</v>
      </c>
      <c r="EA7" s="23">
        <f ca="1">SUM(DO7:DZ7)</f>
        <v>14014308.480671179</v>
      </c>
      <c r="EB7" s="22">
        <f ca="1">Income!EB11+0+EB9</f>
        <v>1121212.2261942057</v>
      </c>
      <c r="EC7" s="22">
        <f ca="1">Income!EC11+0+EC9</f>
        <v>1125304.264992154</v>
      </c>
      <c r="ED7" s="22">
        <f ca="1">Income!ED11+0+ED9</f>
        <v>1179486.1730803319</v>
      </c>
      <c r="EE7" s="22">
        <f ca="1">Income!EE11+0+EE9</f>
        <v>1128815.1066272862</v>
      </c>
      <c r="EF7" s="22">
        <f ca="1">Income!EF11+0+EF9</f>
        <v>1210018.1112197521</v>
      </c>
      <c r="EG7" s="22">
        <f ca="1">Income!EG11+0+EG9</f>
        <v>1150922.2852360299</v>
      </c>
      <c r="EH7" s="22">
        <f ca="1">Income!EH11+0+EH9</f>
        <v>1110017.1273417654</v>
      </c>
      <c r="EI7" s="22">
        <f ca="1">Income!EI11+0+EI9</f>
        <v>1177706.9494086958</v>
      </c>
      <c r="EJ7" s="22">
        <f ca="1">Income!EJ11+0+EJ9</f>
        <v>1111599.7811253117</v>
      </c>
      <c r="EK7" s="22">
        <f ca="1">Income!EK11+0+EK9</f>
        <v>1201240.4172521355</v>
      </c>
      <c r="EL7" s="22">
        <f ca="1">Income!EL11+0+EL9</f>
        <v>1153677.8432979297</v>
      </c>
      <c r="EM7" s="22">
        <f ca="1">Income!EM11+0+EM9</f>
        <v>1128012.7502532718</v>
      </c>
      <c r="EN7" s="23">
        <f ca="1">SUM(EB7:EM7)</f>
        <v>13798013.036028868</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11" t="str">
        <f>Labels!B44</f>
        <v>Aggregate Demand Shock</v>
      </c>
      <c r="B9" s="25">
        <f ca="1">NORMINV(RAND()*(1-2*Inputs!B58)+Inputs!B58,0,Shocks!B11)</f>
        <v>-3360.7383868432466</v>
      </c>
      <c r="C9" s="25">
        <f ca="1">NORMINV(RAND()*(1-2*Inputs!B58)+Inputs!B58,0,Shocks!B11)</f>
        <v>-32141.295145863223</v>
      </c>
      <c r="D9" s="25">
        <f ca="1">NORMINV(RAND()*(1-2*Inputs!B58)+Inputs!B58,0,Shocks!B11)</f>
        <v>47007.48768850269</v>
      </c>
      <c r="E9" s="25">
        <f ca="1">NORMINV(RAND()*(1-2*Inputs!B58)+Inputs!B58,0,Shocks!B11)</f>
        <v>55798.923051017118</v>
      </c>
      <c r="F9" s="25">
        <f ca="1">NORMINV(RAND()*(1-2*Inputs!B58)+Inputs!B58,0,Shocks!B11)</f>
        <v>-54748.146013144949</v>
      </c>
      <c r="G9" s="25">
        <f ca="1">NORMINV(RAND()*(1-2*Inputs!B58)+Inputs!B58,0,Shocks!B11)</f>
        <v>5420.9272965165746</v>
      </c>
      <c r="H9" s="25">
        <f ca="1">NORMINV(RAND()*(1-2*Inputs!B58)+Inputs!B58,0,Shocks!B11)</f>
        <v>-10766.920912184762</v>
      </c>
      <c r="I9" s="25">
        <f ca="1">NORMINV(RAND()*(1-2*Inputs!B58)+Inputs!B58,0,Shocks!B11)</f>
        <v>7580.942683773269</v>
      </c>
      <c r="J9" s="25">
        <f ca="1">NORMINV(RAND()*(1-2*Inputs!B58)+Inputs!B58,0,Shocks!B11)</f>
        <v>22377.542770510503</v>
      </c>
      <c r="K9" s="25">
        <f ca="1">NORMINV(RAND()*(1-2*Inputs!B58)+Inputs!B58,0,Shocks!B11)</f>
        <v>4291.2918902324463</v>
      </c>
      <c r="L9" s="25">
        <f ca="1">NORMINV(RAND()*(1-2*Inputs!B58)+Inputs!B58,0,Shocks!B11)</f>
        <v>13551.743508593003</v>
      </c>
      <c r="M9" s="25">
        <f ca="1">NORMINV(RAND()*(1-2*Inputs!B58)+Inputs!B58,0,Shocks!B11)</f>
        <v>16027.754188652434</v>
      </c>
      <c r="N9" s="26">
        <f ca="1">SUM(B9:M9)</f>
        <v>71039.512619761867</v>
      </c>
      <c r="O9" s="25">
        <f ca="1">NORMINV(RAND()*(1-2*Inputs!B58)+Inputs!B58,0,Shocks!B11)</f>
        <v>-18272.311287497996</v>
      </c>
      <c r="P9" s="25">
        <f ca="1">NORMINV(RAND()*(1-2*Inputs!B58)+Inputs!B58,0,Shocks!B11)</f>
        <v>48057.635060219509</v>
      </c>
      <c r="Q9" s="25">
        <f ca="1">NORMINV(RAND()*(1-2*Inputs!B58)+Inputs!B58,0,Shocks!B11)</f>
        <v>-39464.636282922111</v>
      </c>
      <c r="R9" s="25">
        <f ca="1">NORMINV(RAND()*(1-2*Inputs!B58)+Inputs!B58,0,Shocks!B11)</f>
        <v>31004.033476080444</v>
      </c>
      <c r="S9" s="25">
        <f ca="1">NORMINV(RAND()*(1-2*Inputs!B58)+Inputs!B58,0,Shocks!B11)</f>
        <v>50320.61659719974</v>
      </c>
      <c r="T9" s="25">
        <f ca="1">NORMINV(RAND()*(1-2*Inputs!B58)+Inputs!B58,0,Shocks!B11)</f>
        <v>58483.322755631125</v>
      </c>
      <c r="U9" s="25">
        <f ca="1">NORMINV(RAND()*(1-2*Inputs!B58)+Inputs!B58,0,Shocks!B11)</f>
        <v>-61843.485034555597</v>
      </c>
      <c r="V9" s="25">
        <f ca="1">NORMINV(RAND()*(1-2*Inputs!B58)+Inputs!B58,0,Shocks!B11)</f>
        <v>4723.2464172902146</v>
      </c>
      <c r="W9" s="25">
        <f ca="1">NORMINV(RAND()*(1-2*Inputs!B58)+Inputs!B58,0,Shocks!B11)</f>
        <v>40849.975073137743</v>
      </c>
      <c r="X9" s="25">
        <f ca="1">NORMINV(RAND()*(1-2*Inputs!B58)+Inputs!B58,0,Shocks!B11)</f>
        <v>-54415.190274309643</v>
      </c>
      <c r="Y9" s="25">
        <f ca="1">NORMINV(RAND()*(1-2*Inputs!B58)+Inputs!B58,0,Shocks!B11)</f>
        <v>17933.797555331214</v>
      </c>
      <c r="Z9" s="25">
        <f ca="1">NORMINV(RAND()*(1-2*Inputs!B58)+Inputs!B58,0,Shocks!B11)</f>
        <v>-1369.0417399195235</v>
      </c>
      <c r="AA9" s="26">
        <f ca="1">SUM(O9:Z9)</f>
        <v>76007.962315685087</v>
      </c>
      <c r="AB9" s="25">
        <f ca="1">NORMINV(RAND()*(1-2*Inputs!B58)+Inputs!B58,0,Shocks!B11)</f>
        <v>29556.66150718533</v>
      </c>
      <c r="AC9" s="25">
        <f ca="1">NORMINV(RAND()*(1-2*Inputs!B58)+Inputs!B58,0,Shocks!B11)</f>
        <v>36959.148989349691</v>
      </c>
      <c r="AD9" s="25">
        <f ca="1">NORMINV(RAND()*(1-2*Inputs!B58)+Inputs!B58,0,Shocks!B11)</f>
        <v>17872.487775592355</v>
      </c>
      <c r="AE9" s="25">
        <f ca="1">NORMINV(RAND()*(1-2*Inputs!B58)+Inputs!B58,0,Shocks!B11)</f>
        <v>41621.350089453546</v>
      </c>
      <c r="AF9" s="25">
        <f ca="1">NORMINV(RAND()*(1-2*Inputs!B58)+Inputs!B58,0,Shocks!B11)</f>
        <v>41603.504903390232</v>
      </c>
      <c r="AG9" s="25">
        <f ca="1">NORMINV(RAND()*(1-2*Inputs!B58)+Inputs!B58,0,Shocks!B11)</f>
        <v>-6113.8890584299561</v>
      </c>
      <c r="AH9" s="25">
        <f ca="1">NORMINV(RAND()*(1-2*Inputs!B58)+Inputs!B58,0,Shocks!B11)</f>
        <v>-17985.090536435211</v>
      </c>
      <c r="AI9" s="25">
        <f ca="1">NORMINV(RAND()*(1-2*Inputs!B58)+Inputs!B58,0,Shocks!B11)</f>
        <v>-20040.760775496492</v>
      </c>
      <c r="AJ9" s="25">
        <f ca="1">NORMINV(RAND()*(1-2*Inputs!B58)+Inputs!B58,0,Shocks!B11)</f>
        <v>33728.612690848844</v>
      </c>
      <c r="AK9" s="25">
        <f ca="1">NORMINV(RAND()*(1-2*Inputs!B58)+Inputs!B58,0,Shocks!B11)</f>
        <v>-34635.938615232546</v>
      </c>
      <c r="AL9" s="25">
        <f ca="1">NORMINV(RAND()*(1-2*Inputs!B58)+Inputs!B58,0,Shocks!B11)</f>
        <v>825.69899329164286</v>
      </c>
      <c r="AM9" s="25">
        <f ca="1">NORMINV(RAND()*(1-2*Inputs!B58)+Inputs!B58,0,Shocks!B11)</f>
        <v>-13765.032505031168</v>
      </c>
      <c r="AN9" s="26">
        <f ca="1">SUM(AB9:AM9)</f>
        <v>109626.75345848629</v>
      </c>
      <c r="AO9" s="25">
        <f ca="1">NORMINV(RAND()*(1-2*Inputs!B58)+Inputs!B58,0,Shocks!B11)</f>
        <v>-5676.640290265329</v>
      </c>
      <c r="AP9" s="25">
        <f ca="1">NORMINV(RAND()*(1-2*Inputs!B58)+Inputs!B58,0,Shocks!B11)</f>
        <v>845.30661243522616</v>
      </c>
      <c r="AQ9" s="25">
        <f ca="1">NORMINV(RAND()*(1-2*Inputs!B58)+Inputs!B58,0,Shocks!B11)</f>
        <v>-38560.284601881642</v>
      </c>
      <c r="AR9" s="25">
        <f ca="1">NORMINV(RAND()*(1-2*Inputs!B58)+Inputs!B58,0,Shocks!B11)</f>
        <v>13134.190415385538</v>
      </c>
      <c r="AS9" s="25">
        <f ca="1">NORMINV(RAND()*(1-2*Inputs!B58)+Inputs!B58,0,Shocks!B11)</f>
        <v>-9450.7737579503755</v>
      </c>
      <c r="AT9" s="25">
        <f ca="1">NORMINV(RAND()*(1-2*Inputs!B58)+Inputs!B58,0,Shocks!B11)</f>
        <v>17086.459584205757</v>
      </c>
      <c r="AU9" s="25">
        <f ca="1">NORMINV(RAND()*(1-2*Inputs!B58)+Inputs!B58,0,Shocks!B11)</f>
        <v>21796.136807391838</v>
      </c>
      <c r="AV9" s="25">
        <f ca="1">NORMINV(RAND()*(1-2*Inputs!B58)+Inputs!B58,0,Shocks!B11)</f>
        <v>7095.9176423148438</v>
      </c>
      <c r="AW9" s="25">
        <f ca="1">NORMINV(RAND()*(1-2*Inputs!B58)+Inputs!B58,0,Shocks!B11)</f>
        <v>51362.201619763611</v>
      </c>
      <c r="AX9" s="25">
        <f ca="1">NORMINV(RAND()*(1-2*Inputs!B58)+Inputs!B58,0,Shocks!B11)</f>
        <v>-30184.583978355837</v>
      </c>
      <c r="AY9" s="25">
        <f ca="1">NORMINV(RAND()*(1-2*Inputs!B58)+Inputs!B58,0,Shocks!B11)</f>
        <v>-36043.679996911073</v>
      </c>
      <c r="AZ9" s="25">
        <f ca="1">NORMINV(RAND()*(1-2*Inputs!B58)+Inputs!B58,0,Shocks!B11)</f>
        <v>48176.805774772736</v>
      </c>
      <c r="BA9" s="26">
        <f ca="1">SUM(AO9:AZ9)</f>
        <v>39581.055830905301</v>
      </c>
      <c r="BB9" s="25">
        <f ca="1">NORMINV(RAND()*(1-2*Inputs!B58)+Inputs!B58,0,Shocks!B11)</f>
        <v>52146.047903785664</v>
      </c>
      <c r="BC9" s="25">
        <f ca="1">NORMINV(RAND()*(1-2*Inputs!B58)+Inputs!B58,0,Shocks!B11)</f>
        <v>-28408.977031160215</v>
      </c>
      <c r="BD9" s="25">
        <f ca="1">NORMINV(RAND()*(1-2*Inputs!B58)+Inputs!B58,0,Shocks!B11)</f>
        <v>-27682.386647142539</v>
      </c>
      <c r="BE9" s="25">
        <f ca="1">NORMINV(RAND()*(1-2*Inputs!B58)+Inputs!B58,0,Shocks!B11)</f>
        <v>11810.821898601576</v>
      </c>
      <c r="BF9" s="25">
        <f ca="1">NORMINV(RAND()*(1-2*Inputs!B58)+Inputs!B58,0,Shocks!B11)</f>
        <v>-39740.083890397429</v>
      </c>
      <c r="BG9" s="25">
        <f ca="1">NORMINV(RAND()*(1-2*Inputs!B58)+Inputs!B58,0,Shocks!B11)</f>
        <v>-21577.685662827451</v>
      </c>
      <c r="BH9" s="25">
        <f ca="1">NORMINV(RAND()*(1-2*Inputs!B58)+Inputs!B58,0,Shocks!B11)</f>
        <v>-3643.1115406772992</v>
      </c>
      <c r="BI9" s="25">
        <f ca="1">NORMINV(RAND()*(1-2*Inputs!B58)+Inputs!B58,0,Shocks!B11)</f>
        <v>-19678.753907175676</v>
      </c>
      <c r="BJ9" s="25">
        <f ca="1">NORMINV(RAND()*(1-2*Inputs!B58)+Inputs!B58,0,Shocks!B11)</f>
        <v>48674.297316892982</v>
      </c>
      <c r="BK9" s="25">
        <f ca="1">NORMINV(RAND()*(1-2*Inputs!B58)+Inputs!B58,0,Shocks!B11)</f>
        <v>-29251.375589468946</v>
      </c>
      <c r="BL9" s="25">
        <f ca="1">NORMINV(RAND()*(1-2*Inputs!B58)+Inputs!B58,0,Shocks!B11)</f>
        <v>45920.598281583989</v>
      </c>
      <c r="BM9" s="25">
        <f ca="1">NORMINV(RAND()*(1-2*Inputs!B58)+Inputs!B58,0,Shocks!B11)</f>
        <v>-49787.755369045066</v>
      </c>
      <c r="BN9" s="26">
        <f ca="1">SUM(BB9:BM9)</f>
        <v>-61218.364237030415</v>
      </c>
      <c r="BO9" s="25">
        <f ca="1">NORMINV(RAND()*(1-2*Inputs!B58)+Inputs!B58,0,Shocks!B11)</f>
        <v>33126.923203704566</v>
      </c>
      <c r="BP9" s="25">
        <f ca="1">NORMINV(RAND()*(1-2*Inputs!B58)+Inputs!B58,0,Shocks!B11)</f>
        <v>49040.906726178357</v>
      </c>
      <c r="BQ9" s="25">
        <f ca="1">NORMINV(RAND()*(1-2*Inputs!B58)+Inputs!B58,0,Shocks!B11)</f>
        <v>-7051.969965618905</v>
      </c>
      <c r="BR9" s="25">
        <f ca="1">NORMINV(RAND()*(1-2*Inputs!B58)+Inputs!B58,0,Shocks!B11)</f>
        <v>-29225.725344468457</v>
      </c>
      <c r="BS9" s="25">
        <f ca="1">NORMINV(RAND()*(1-2*Inputs!B58)+Inputs!B58,0,Shocks!B11)</f>
        <v>60970.16471460303</v>
      </c>
      <c r="BT9" s="25">
        <f ca="1">NORMINV(RAND()*(1-2*Inputs!B58)+Inputs!B58,0,Shocks!B11)</f>
        <v>-30227.29470864949</v>
      </c>
      <c r="BU9" s="25">
        <f ca="1">NORMINV(RAND()*(1-2*Inputs!B58)+Inputs!B58,0,Shocks!B11)</f>
        <v>36135.512644941307</v>
      </c>
      <c r="BV9" s="25">
        <f ca="1">NORMINV(RAND()*(1-2*Inputs!B58)+Inputs!B58,0,Shocks!B11)</f>
        <v>20060.096488660649</v>
      </c>
      <c r="BW9" s="25">
        <f ca="1">NORMINV(RAND()*(1-2*Inputs!B58)+Inputs!B58,0,Shocks!B11)</f>
        <v>44958.843424549246</v>
      </c>
      <c r="BX9" s="25">
        <f ca="1">NORMINV(RAND()*(1-2*Inputs!B58)+Inputs!B58,0,Shocks!B11)</f>
        <v>-9020.2640439484949</v>
      </c>
      <c r="BY9" s="25">
        <f ca="1">NORMINV(RAND()*(1-2*Inputs!B58)+Inputs!B58,0,Shocks!B11)</f>
        <v>-39113.495286012156</v>
      </c>
      <c r="BZ9" s="25">
        <f ca="1">NORMINV(RAND()*(1-2*Inputs!B58)+Inputs!B58,0,Shocks!B11)</f>
        <v>6664.4925382067395</v>
      </c>
      <c r="CA9" s="26">
        <f ca="1">SUM(BO9:BZ9)</f>
        <v>136318.19039214638</v>
      </c>
      <c r="CB9" s="25">
        <f ca="1">NORMINV(RAND()*(1-2*Inputs!B58)+Inputs!B58,0,Shocks!B11)</f>
        <v>-14389.914100225313</v>
      </c>
      <c r="CC9" s="25">
        <f ca="1">NORMINV(RAND()*(1-2*Inputs!B58)+Inputs!B58,0,Shocks!B11)</f>
        <v>-16094.265883114011</v>
      </c>
      <c r="CD9" s="25">
        <f ca="1">NORMINV(RAND()*(1-2*Inputs!B58)+Inputs!B58,0,Shocks!B11)</f>
        <v>-14423.062562625384</v>
      </c>
      <c r="CE9" s="25">
        <f ca="1">NORMINV(RAND()*(1-2*Inputs!B58)+Inputs!B58,0,Shocks!B11)</f>
        <v>-8024.1306599295804</v>
      </c>
      <c r="CF9" s="25">
        <f ca="1">NORMINV(RAND()*(1-2*Inputs!B58)+Inputs!B58,0,Shocks!B11)</f>
        <v>25477.477405479378</v>
      </c>
      <c r="CG9" s="25">
        <f ca="1">NORMINV(RAND()*(1-2*Inputs!B58)+Inputs!B58,0,Shocks!B11)</f>
        <v>-19788.953741769386</v>
      </c>
      <c r="CH9" s="25">
        <f ca="1">NORMINV(RAND()*(1-2*Inputs!B58)+Inputs!B58,0,Shocks!B11)</f>
        <v>-30510.759415630404</v>
      </c>
      <c r="CI9" s="25">
        <f ca="1">NORMINV(RAND()*(1-2*Inputs!B58)+Inputs!B58,0,Shocks!B11)</f>
        <v>-33138.795948513958</v>
      </c>
      <c r="CJ9" s="25">
        <f ca="1">NORMINV(RAND()*(1-2*Inputs!B58)+Inputs!B58,0,Shocks!B11)</f>
        <v>-3673.9985260130766</v>
      </c>
      <c r="CK9" s="25">
        <f ca="1">NORMINV(RAND()*(1-2*Inputs!B58)+Inputs!B58,0,Shocks!B11)</f>
        <v>-35878.17059298043</v>
      </c>
      <c r="CL9" s="25">
        <f ca="1">NORMINV(RAND()*(1-2*Inputs!B58)+Inputs!B58,0,Shocks!B11)</f>
        <v>27564.477528791602</v>
      </c>
      <c r="CM9" s="25">
        <f ca="1">NORMINV(RAND()*(1-2*Inputs!B58)+Inputs!B58,0,Shocks!B11)</f>
        <v>14354.300284832669</v>
      </c>
      <c r="CN9" s="26">
        <f ca="1">SUM(CB9:CM9)</f>
        <v>-108525.79621169789</v>
      </c>
      <c r="CO9" s="25">
        <f ca="1">NORMINV(RAND()*(1-2*Inputs!B58)+Inputs!B58,0,Shocks!B11)</f>
        <v>-42974.770863121492</v>
      </c>
      <c r="CP9" s="25">
        <f ca="1">NORMINV(RAND()*(1-2*Inputs!B58)+Inputs!B58,0,Shocks!B11)</f>
        <v>-47729.293046534331</v>
      </c>
      <c r="CQ9" s="25">
        <f ca="1">NORMINV(RAND()*(1-2*Inputs!B58)+Inputs!B58,0,Shocks!B11)</f>
        <v>-27796.884048954038</v>
      </c>
      <c r="CR9" s="25">
        <f ca="1">NORMINV(RAND()*(1-2*Inputs!B58)+Inputs!B58,0,Shocks!B11)</f>
        <v>-15859.235352445883</v>
      </c>
      <c r="CS9" s="25">
        <f ca="1">NORMINV(RAND()*(1-2*Inputs!B58)+Inputs!B58,0,Shocks!B11)</f>
        <v>-20016.374724258436</v>
      </c>
      <c r="CT9" s="25">
        <f ca="1">NORMINV(RAND()*(1-2*Inputs!B58)+Inputs!B58,0,Shocks!B11)</f>
        <v>-3396.3953580334473</v>
      </c>
      <c r="CU9" s="25">
        <f ca="1">NORMINV(RAND()*(1-2*Inputs!B58)+Inputs!B58,0,Shocks!B11)</f>
        <v>28117.810538524049</v>
      </c>
      <c r="CV9" s="25">
        <f ca="1">NORMINV(RAND()*(1-2*Inputs!B58)+Inputs!B58,0,Shocks!B11)</f>
        <v>16328.877790980996</v>
      </c>
      <c r="CW9" s="25">
        <f ca="1">NORMINV(RAND()*(1-2*Inputs!B58)+Inputs!B58,0,Shocks!B11)</f>
        <v>21282.295708061731</v>
      </c>
      <c r="CX9" s="25">
        <f ca="1">NORMINV(RAND()*(1-2*Inputs!B58)+Inputs!B58,0,Shocks!B11)</f>
        <v>-16508.761238778003</v>
      </c>
      <c r="CY9" s="25">
        <f ca="1">NORMINV(RAND()*(1-2*Inputs!B58)+Inputs!B58,0,Shocks!B11)</f>
        <v>218.99348202490515</v>
      </c>
      <c r="CZ9" s="25">
        <f ca="1">NORMINV(RAND()*(1-2*Inputs!B58)+Inputs!B58,0,Shocks!B11)</f>
        <v>34787.473779844324</v>
      </c>
      <c r="DA9" s="26">
        <f ca="1">SUM(CO9:CZ9)</f>
        <v>-73546.263332689618</v>
      </c>
      <c r="DB9" s="25">
        <f ca="1">NORMINV(RAND()*(1-2*Inputs!B58)+Inputs!B58,0,Shocks!B11)</f>
        <v>13817.269586275812</v>
      </c>
      <c r="DC9" s="25">
        <f ca="1">NORMINV(RAND()*(1-2*Inputs!B58)+Inputs!B58,0,Shocks!B11)</f>
        <v>12192.820830393332</v>
      </c>
      <c r="DD9" s="25">
        <f ca="1">NORMINV(RAND()*(1-2*Inputs!B58)+Inputs!B58,0,Shocks!B11)</f>
        <v>-50596.224566777055</v>
      </c>
      <c r="DE9" s="25">
        <f ca="1">NORMINV(RAND()*(1-2*Inputs!B58)+Inputs!B58,0,Shocks!B11)</f>
        <v>-45433.512458218735</v>
      </c>
      <c r="DF9" s="25">
        <f ca="1">NORMINV(RAND()*(1-2*Inputs!B58)+Inputs!B58,0,Shocks!B11)</f>
        <v>-14223.361221974963</v>
      </c>
      <c r="DG9" s="25">
        <f ca="1">NORMINV(RAND()*(1-2*Inputs!B58)+Inputs!B58,0,Shocks!B11)</f>
        <v>8722.7513017940237</v>
      </c>
      <c r="DH9" s="25">
        <f ca="1">NORMINV(RAND()*(1-2*Inputs!B58)+Inputs!B58,0,Shocks!B11)</f>
        <v>-32069.195000387659</v>
      </c>
      <c r="DI9" s="25">
        <f ca="1">NORMINV(RAND()*(1-2*Inputs!B58)+Inputs!B58,0,Shocks!B11)</f>
        <v>-30693.247473608026</v>
      </c>
      <c r="DJ9" s="25">
        <f ca="1">NORMINV(RAND()*(1-2*Inputs!B58)+Inputs!B58,0,Shocks!B11)</f>
        <v>8142.4708637722861</v>
      </c>
      <c r="DK9" s="25">
        <f ca="1">NORMINV(RAND()*(1-2*Inputs!B58)+Inputs!B58,0,Shocks!B11)</f>
        <v>5298.4944412674795</v>
      </c>
      <c r="DL9" s="25">
        <f ca="1">NORMINV(RAND()*(1-2*Inputs!B58)+Inputs!B58,0,Shocks!B11)</f>
        <v>24173.609074881027</v>
      </c>
      <c r="DM9" s="25">
        <f ca="1">NORMINV(RAND()*(1-2*Inputs!B58)+Inputs!B58,0,Shocks!B11)</f>
        <v>-61534.362158433272</v>
      </c>
      <c r="DN9" s="26">
        <f ca="1">SUM(DB9:DM9)</f>
        <v>-162202.48678101576</v>
      </c>
      <c r="DO9" s="25">
        <f ca="1">NORMINV(RAND()*(1-2*Inputs!B58)+Inputs!B58,0,Shocks!B11)</f>
        <v>14229.025794946978</v>
      </c>
      <c r="DP9" s="25">
        <f ca="1">NORMINV(RAND()*(1-2*Inputs!B58)+Inputs!B58,0,Shocks!B11)</f>
        <v>-20946.457470556354</v>
      </c>
      <c r="DQ9" s="25">
        <f ca="1">NORMINV(RAND()*(1-2*Inputs!B58)+Inputs!B58,0,Shocks!B11)</f>
        <v>-35852.172303975909</v>
      </c>
      <c r="DR9" s="25">
        <f ca="1">NORMINV(RAND()*(1-2*Inputs!B58)+Inputs!B58,0,Shocks!B11)</f>
        <v>25632.31974284663</v>
      </c>
      <c r="DS9" s="25">
        <f ca="1">NORMINV(RAND()*(1-2*Inputs!B58)+Inputs!B58,0,Shocks!B11)</f>
        <v>-3762.8971449306282</v>
      </c>
      <c r="DT9" s="25">
        <f ca="1">NORMINV(RAND()*(1-2*Inputs!B58)+Inputs!B58,0,Shocks!B11)</f>
        <v>-41941.541576427291</v>
      </c>
      <c r="DU9" s="25">
        <f ca="1">NORMINV(RAND()*(1-2*Inputs!B58)+Inputs!B58,0,Shocks!B11)</f>
        <v>41485.26358422076</v>
      </c>
      <c r="DV9" s="25">
        <f ca="1">NORMINV(RAND()*(1-2*Inputs!B58)+Inputs!B58,0,Shocks!B11)</f>
        <v>16864.635318556942</v>
      </c>
      <c r="DW9" s="25">
        <f ca="1">NORMINV(RAND()*(1-2*Inputs!B58)+Inputs!B58,0,Shocks!B11)</f>
        <v>-44435.326470381289</v>
      </c>
      <c r="DX9" s="25">
        <f ca="1">NORMINV(RAND()*(1-2*Inputs!B58)+Inputs!B58,0,Shocks!B11)</f>
        <v>13239.858402801014</v>
      </c>
      <c r="DY9" s="25">
        <f ca="1">NORMINV(RAND()*(1-2*Inputs!B58)+Inputs!B58,0,Shocks!B11)</f>
        <v>5002.7187375638059</v>
      </c>
      <c r="DZ9" s="25">
        <f ca="1">NORMINV(RAND()*(1-2*Inputs!B58)+Inputs!B58,0,Shocks!B11)</f>
        <v>34264.202988932258</v>
      </c>
      <c r="EA9" s="26">
        <f ca="1">SUM(DO9:DZ9)</f>
        <v>3779.6296035969244</v>
      </c>
      <c r="EB9" s="25">
        <f ca="1">NORMINV(RAND()*(1-2*Inputs!B58)+Inputs!B58,0,Shocks!B11)</f>
        <v>-46404.331826602574</v>
      </c>
      <c r="EC9" s="25">
        <f ca="1">NORMINV(RAND()*(1-2*Inputs!B58)+Inputs!B58,0,Shocks!B11)</f>
        <v>-42246.746691894121</v>
      </c>
      <c r="ED9" s="25">
        <f ca="1">NORMINV(RAND()*(1-2*Inputs!B58)+Inputs!B58,0,Shocks!B11)</f>
        <v>11985.561709471223</v>
      </c>
      <c r="EE9" s="25">
        <f ca="1">NORMINV(RAND()*(1-2*Inputs!B58)+Inputs!B58,0,Shocks!B11)</f>
        <v>-38677.492215604827</v>
      </c>
      <c r="EF9" s="25">
        <f ca="1">NORMINV(RAND()*(1-2*Inputs!B58)+Inputs!B58,0,Shocks!B11)</f>
        <v>42649.012729360657</v>
      </c>
      <c r="EG9" s="25">
        <f ca="1">NORMINV(RAND()*(1-2*Inputs!B58)+Inputs!B58,0,Shocks!B11)</f>
        <v>-16580.991980793762</v>
      </c>
      <c r="EH9" s="25">
        <f ca="1">NORMINV(RAND()*(1-2*Inputs!B58)+Inputs!B58,0,Shocks!B11)</f>
        <v>-57462.244828764371</v>
      </c>
      <c r="EI9" s="25">
        <f ca="1">NORMINV(RAND()*(1-2*Inputs!B58)+Inputs!B58,0,Shocks!B11)</f>
        <v>10309.901335996637</v>
      </c>
      <c r="EJ9" s="25">
        <f ca="1">NORMINV(RAND()*(1-2*Inputs!B58)+Inputs!B58,0,Shocks!B11)</f>
        <v>-55889.032547157323</v>
      </c>
      <c r="EK9" s="25">
        <f ca="1">NORMINV(RAND()*(1-2*Inputs!B58)+Inputs!B58,0,Shocks!B11)</f>
        <v>33895.299945445055</v>
      </c>
      <c r="EL9" s="25">
        <f ca="1">NORMINV(RAND()*(1-2*Inputs!B58)+Inputs!B58,0,Shocks!B11)</f>
        <v>-13740.707300400174</v>
      </c>
      <c r="EM9" s="25">
        <f ca="1">NORMINV(RAND()*(1-2*Inputs!B58)+Inputs!B58,0,Shocks!B11)</f>
        <v>-39442.040223787051</v>
      </c>
      <c r="EN9" s="26">
        <f ca="1">SUM(EB9:EM9)</f>
        <v>-211603.81189473064</v>
      </c>
    </row>
    <row r="10" spans="1:144" ht="12.75" customHeight="1" x14ac:dyDescent="0.2">
      <c r="A10" s="5"/>
      <c r="B10" s="24"/>
      <c r="C10" s="24"/>
      <c r="D10" s="24"/>
      <c r="E10" s="24"/>
      <c r="F10" s="24"/>
      <c r="G10" s="24"/>
      <c r="H10" s="24"/>
      <c r="I10" s="24"/>
      <c r="J10" s="24"/>
      <c r="K10" s="24"/>
      <c r="L10" s="24"/>
      <c r="M10" s="24"/>
      <c r="N10" s="5"/>
      <c r="O10" s="24"/>
      <c r="P10" s="24"/>
      <c r="Q10" s="24"/>
      <c r="R10" s="24"/>
      <c r="S10" s="24"/>
      <c r="T10" s="24"/>
      <c r="U10" s="24"/>
      <c r="V10" s="24"/>
      <c r="W10" s="24"/>
      <c r="X10" s="24"/>
      <c r="Y10" s="24"/>
      <c r="Z10" s="24"/>
      <c r="AA10" s="5"/>
      <c r="AB10" s="24"/>
      <c r="AC10" s="24"/>
      <c r="AD10" s="24"/>
      <c r="AE10" s="24"/>
      <c r="AF10" s="24"/>
      <c r="AG10" s="24"/>
      <c r="AH10" s="24"/>
      <c r="AI10" s="24"/>
      <c r="AJ10" s="24"/>
      <c r="AK10" s="24"/>
      <c r="AL10" s="24"/>
      <c r="AM10" s="24"/>
      <c r="AN10" s="5"/>
      <c r="AO10" s="24"/>
      <c r="AP10" s="24"/>
      <c r="AQ10" s="24"/>
      <c r="AR10" s="24"/>
      <c r="AS10" s="24"/>
      <c r="AT10" s="24"/>
      <c r="AU10" s="24"/>
      <c r="AV10" s="24"/>
      <c r="AW10" s="24"/>
      <c r="AX10" s="24"/>
      <c r="AY10" s="24"/>
      <c r="AZ10" s="24"/>
      <c r="BA10" s="5"/>
      <c r="BB10" s="24"/>
      <c r="BC10" s="24"/>
      <c r="BD10" s="24"/>
      <c r="BE10" s="24"/>
      <c r="BF10" s="24"/>
      <c r="BG10" s="24"/>
      <c r="BH10" s="24"/>
      <c r="BI10" s="24"/>
      <c r="BJ10" s="24"/>
      <c r="BK10" s="24"/>
      <c r="BL10" s="24"/>
      <c r="BM10" s="24"/>
      <c r="BN10" s="5"/>
      <c r="BO10" s="24"/>
      <c r="BP10" s="24"/>
      <c r="BQ10" s="24"/>
      <c r="BR10" s="24"/>
      <c r="BS10" s="24"/>
      <c r="BT10" s="24"/>
      <c r="BU10" s="24"/>
      <c r="BV10" s="24"/>
      <c r="BW10" s="24"/>
      <c r="BX10" s="24"/>
      <c r="BY10" s="24"/>
      <c r="BZ10" s="24"/>
      <c r="CA10" s="5"/>
      <c r="CB10" s="24"/>
      <c r="CC10" s="24"/>
      <c r="CD10" s="24"/>
      <c r="CE10" s="24"/>
      <c r="CF10" s="24"/>
      <c r="CG10" s="24"/>
      <c r="CH10" s="24"/>
      <c r="CI10" s="24"/>
      <c r="CJ10" s="24"/>
      <c r="CK10" s="24"/>
      <c r="CL10" s="24"/>
      <c r="CM10" s="24"/>
      <c r="CN10" s="5"/>
      <c r="CO10" s="24"/>
      <c r="CP10" s="24"/>
      <c r="CQ10" s="24"/>
      <c r="CR10" s="24"/>
      <c r="CS10" s="24"/>
      <c r="CT10" s="24"/>
      <c r="CU10" s="24"/>
      <c r="CV10" s="24"/>
      <c r="CW10" s="24"/>
      <c r="CX10" s="24"/>
      <c r="CY10" s="24"/>
      <c r="CZ10" s="24"/>
      <c r="DA10" s="5"/>
      <c r="DB10" s="24"/>
      <c r="DC10" s="24"/>
      <c r="DD10" s="24"/>
      <c r="DE10" s="24"/>
      <c r="DF10" s="24"/>
      <c r="DG10" s="24"/>
      <c r="DH10" s="24"/>
      <c r="DI10" s="24"/>
      <c r="DJ10" s="24"/>
      <c r="DK10" s="24"/>
      <c r="DL10" s="24"/>
      <c r="DM10" s="24"/>
      <c r="DN10" s="5"/>
      <c r="DO10" s="24"/>
      <c r="DP10" s="24"/>
      <c r="DQ10" s="24"/>
      <c r="DR10" s="24"/>
      <c r="DS10" s="24"/>
      <c r="DT10" s="24"/>
      <c r="DU10" s="24"/>
      <c r="DV10" s="24"/>
      <c r="DW10" s="24"/>
      <c r="DX10" s="24"/>
      <c r="DY10" s="24"/>
      <c r="DZ10" s="24"/>
      <c r="EA10" s="5"/>
      <c r="EB10" s="24"/>
      <c r="EC10" s="24"/>
      <c r="ED10" s="24"/>
      <c r="EE10" s="24"/>
      <c r="EF10" s="24"/>
      <c r="EG10" s="24"/>
      <c r="EH10" s="24"/>
      <c r="EI10" s="24"/>
      <c r="EJ10" s="24"/>
      <c r="EK10" s="24"/>
      <c r="EL10" s="24"/>
      <c r="EM10" s="24"/>
      <c r="EN10" s="5"/>
    </row>
    <row r="11" spans="1:144" ht="12.75" customHeight="1" x14ac:dyDescent="0.2">
      <c r="A11" s="11" t="str">
        <f>Labels!B19</f>
        <v>Long Expected Demand</v>
      </c>
      <c r="B11" s="25">
        <f>Output!B13+'(Other Computations)'!B8*0/Inputs!B13/12</f>
        <v>1166666.6666666667</v>
      </c>
      <c r="C11" s="25">
        <f ca="1">B11+'(Other Computations)'!B8*(B7-B11)/Inputs!B13/12</f>
        <v>1166660.9443117965</v>
      </c>
      <c r="D11" s="25">
        <f ca="1">C11+'(Other Computations)'!B8*(C7-C11)/Inputs!B13/12</f>
        <v>1166588.688954982</v>
      </c>
      <c r="E11" s="25">
        <f ca="1">D11+'(Other Computations)'!B8*(D7-D11)/Inputs!B13/12</f>
        <v>1166699.7216007886</v>
      </c>
      <c r="F11" s="25">
        <f ca="1">E11+'(Other Computations)'!B8*(E7-E11)/Inputs!B13/12</f>
        <v>1166831.1752552791</v>
      </c>
      <c r="G11" s="25">
        <f ca="1">F11+'(Other Computations)'!B8*(F7-F11)/Inputs!B13/12</f>
        <v>1166706.6296269782</v>
      </c>
      <c r="H11" s="25">
        <f ca="1">G11+'(Other Computations)'!B8*(G7-G11)/Inputs!B13/12</f>
        <v>1166721.5895455682</v>
      </c>
      <c r="I11" s="25">
        <f ca="1">H11+'(Other Computations)'!B8*(H7-H11)/Inputs!B13/12</f>
        <v>1166699.1666334721</v>
      </c>
      <c r="J11" s="25">
        <f ca="1">I11+'(Other Computations)'!B8*(I7-I11)/Inputs!B13/12</f>
        <v>1166719.4099115937</v>
      </c>
      <c r="K11" s="25">
        <f ca="1">J11+'(Other Computations)'!B8*(J7-J11)/Inputs!B13/12</f>
        <v>1166773.841595266</v>
      </c>
      <c r="L11" s="25">
        <f ca="1">K11+'(Other Computations)'!B8*(K7-K11)/Inputs!B13/12</f>
        <v>1166786.4363842865</v>
      </c>
      <c r="M11" s="25">
        <f ca="1">L11+'(Other Computations)'!B8*(L7-L11)/Inputs!B13/12</f>
        <v>1166820.5321596761</v>
      </c>
      <c r="N11" s="26">
        <f ca="1">SUM(B11:M11)</f>
        <v>14000674.802646356</v>
      </c>
      <c r="O11" s="25">
        <f ca="1">M11+'(Other Computations)'!B8*(M7-M11)/Inputs!B13/12</f>
        <v>1166860.3364435171</v>
      </c>
      <c r="P11" s="25">
        <f ca="1">O11+'(Other Computations)'!B8*(O7-O11)/Inputs!B13/12</f>
        <v>1166820.6060289128</v>
      </c>
      <c r="Q11" s="25">
        <f ca="1">P11+'(Other Computations)'!B8*(P7-P11)/Inputs!B13/12</f>
        <v>1166934.4119268681</v>
      </c>
      <c r="R11" s="25">
        <f ca="1">Q11+'(Other Computations)'!B8*(Q7-Q11)/Inputs!B13/12</f>
        <v>1166845.4517069703</v>
      </c>
      <c r="S11" s="25">
        <f ca="1">R11+'(Other Computations)'!B8*(R7-R11)/Inputs!B13/12</f>
        <v>1166919.6060780513</v>
      </c>
      <c r="T11" s="25">
        <f ca="1">S11+'(Other Computations)'!B8*(S7-S11)/Inputs!B13/12</f>
        <v>1167038.4399740007</v>
      </c>
      <c r="U11" s="25">
        <f ca="1">T11+'(Other Computations)'!B8*(T7-T11)/Inputs!B13/12</f>
        <v>1167176.1941335958</v>
      </c>
      <c r="V11" s="25">
        <f ca="1">U11+'(Other Computations)'!B8*(U7-U11)/Inputs!B13/12</f>
        <v>1167035.2588879678</v>
      </c>
      <c r="W11" s="25">
        <f ca="1">V11+'(Other Computations)'!B8*(V7-V11)/Inputs!B13/12</f>
        <v>1167048.4926369463</v>
      </c>
      <c r="X11" s="25">
        <f ca="1">W11+'(Other Computations)'!B8*(W7-W11)/Inputs!B13/12</f>
        <v>1167145.3959361946</v>
      </c>
      <c r="Y11" s="25">
        <f ca="1">X11+'(Other Computations)'!B8*(X7-X11)/Inputs!B13/12</f>
        <v>1167021.6621712651</v>
      </c>
      <c r="Z11" s="25">
        <f ca="1">Y11+'(Other Computations)'!B8*(Y7-Y11)/Inputs!B13/12</f>
        <v>1167065.393708877</v>
      </c>
      <c r="AA11" s="26">
        <f ca="1">SUM(O11:Z11)</f>
        <v>14003911.249633167</v>
      </c>
      <c r="AB11" s="25">
        <f ca="1">Z11+'(Other Computations)'!B8*(Z7-Z11)/Inputs!B13/12</f>
        <v>1167064.3613268093</v>
      </c>
      <c r="AC11" s="25">
        <f ca="1">AB11+'(Other Computations)'!B8*(AB7-AB11)/Inputs!B13/12</f>
        <v>1167134.8854115477</v>
      </c>
      <c r="AD11" s="25">
        <f ca="1">AC11+'(Other Computations)'!B8*(AC7-AC11)/Inputs!B13/12</f>
        <v>1167222.4086770022</v>
      </c>
      <c r="AE11" s="25">
        <f ca="1">AD11+'(Other Computations)'!B8*(AD7-AD11)/Inputs!B13/12</f>
        <v>1167265.7783369226</v>
      </c>
      <c r="AF11" s="25">
        <f ca="1">AE11+'(Other Computations)'!B8*(AE7-AE11)/Inputs!B13/12</f>
        <v>1167364.3035632041</v>
      </c>
      <c r="AG11" s="25">
        <f ca="1">AF11+'(Other Computations)'!B8*(AF7-AF11)/Inputs!B13/12</f>
        <v>1167462.7107883003</v>
      </c>
      <c r="AH11" s="25">
        <f ca="1">AG11+'(Other Computations)'!B8*(AG7-AG11)/Inputs!B13/12</f>
        <v>1167450.4695259004</v>
      </c>
      <c r="AI11" s="25">
        <f ca="1">AH11+'(Other Computations)'!B8*(AH7-AH11)/Inputs!B13/12</f>
        <v>1167410.6123635215</v>
      </c>
      <c r="AJ11" s="25">
        <f ca="1">AI11+'(Other Computations)'!B8*(AI7-AI11)/Inputs!B13/12</f>
        <v>1167366.0673426897</v>
      </c>
      <c r="AK11" s="25">
        <f ca="1">AJ11+'(Other Computations)'!B8*(AJ7-AJ11)/Inputs!B13/12</f>
        <v>1167445.8912734676</v>
      </c>
      <c r="AL11" s="25">
        <f ca="1">AK11+'(Other Computations)'!B8*(AK7-AK11)/Inputs!B13/12</f>
        <v>1167367.2191586255</v>
      </c>
      <c r="AM11" s="25">
        <f ca="1">AL11+'(Other Computations)'!B8*(AL7-AL11)/Inputs!B13/12</f>
        <v>1167370.754810377</v>
      </c>
      <c r="AN11" s="26">
        <f ca="1">SUM(AB11:AM11)</f>
        <v>14007925.462578367</v>
      </c>
      <c r="AO11" s="25">
        <f ca="1">AM11+'(Other Computations)'!B8*(AM7-AM11)/Inputs!B13/12</f>
        <v>1167340.5593121971</v>
      </c>
      <c r="AP11" s="25">
        <f ca="1">AO11+'(Other Computations)'!B8*(AO7-AO11)/Inputs!B13/12</f>
        <v>1167329.1311637023</v>
      </c>
      <c r="AQ11" s="25">
        <f ca="1">AP11+'(Other Computations)'!B8*(AP7-AP11)/Inputs!B13/12</f>
        <v>1167332.8259429326</v>
      </c>
      <c r="AR11" s="25">
        <f ca="1">AQ11+'(Other Computations)'!B8*(AQ7-AQ11)/Inputs!B13/12</f>
        <v>1167245.4323364829</v>
      </c>
      <c r="AS11" s="25">
        <f ca="1">AR11+'(Other Computations)'!B8*(AR7-AR11)/Inputs!B13/12</f>
        <v>1167277.7657047685</v>
      </c>
      <c r="AT11" s="25">
        <f ca="1">AS11+'(Other Computations)'!B8*(AS7-AS11)/Inputs!B13/12</f>
        <v>1167257.7095732973</v>
      </c>
      <c r="AU11" s="25">
        <f ca="1">AT11+'(Other Computations)'!B8*(AT7-AT11)/Inputs!B13/12</f>
        <v>1167299.0338677703</v>
      </c>
      <c r="AV11" s="25">
        <f ca="1">AU11+'(Other Computations)'!B8*(AU7-AU11)/Inputs!B13/12</f>
        <v>1167351.404390041</v>
      </c>
      <c r="AW11" s="25">
        <f ca="1">AV11+'(Other Computations)'!B8*(AV7-AV11)/Inputs!B13/12</f>
        <v>1167369.6701807529</v>
      </c>
      <c r="AX11" s="25">
        <f ca="1">AW11+'(Other Computations)'!B8*(AW7-AW11)/Inputs!B13/12</f>
        <v>1167490.2534745848</v>
      </c>
      <c r="AY11" s="25">
        <f ca="1">AX11+'(Other Computations)'!B8*(AX7-AX11)/Inputs!B13/12</f>
        <v>1167421.843087309</v>
      </c>
      <c r="AZ11" s="25">
        <f ca="1">AY11+'(Other Computations)'!B8*(AY7-AY11)/Inputs!B13/12</f>
        <v>1167339.9827121736</v>
      </c>
      <c r="BA11" s="26">
        <f ca="1">SUM(AO11:AZ11)</f>
        <v>14008055.611746011</v>
      </c>
      <c r="BB11" s="25">
        <f ca="1">AZ11+'(Other Computations)'!B8*(AZ7-AZ11)/Inputs!B13/12</f>
        <v>1167453.0707740844</v>
      </c>
      <c r="BC11" s="25">
        <f ca="1">BB11+'(Other Computations)'!B8*(BB7-BB11)/Inputs!B13/12</f>
        <v>1167575.2856083366</v>
      </c>
      <c r="BD11" s="25">
        <f ca="1">BC11+'(Other Computations)'!B8*(BC7-BC11)/Inputs!B13/12</f>
        <v>1167510.9634007891</v>
      </c>
      <c r="BE11" s="25">
        <f ca="1">BD11+'(Other Computations)'!B8*(BD7-BD11)/Inputs!B13/12</f>
        <v>1167448.3826074521</v>
      </c>
      <c r="BF11" s="25">
        <f ca="1">BE11+'(Other Computations)'!B8*(BE7-BE11)/Inputs!B13/12</f>
        <v>1167477.3273024871</v>
      </c>
      <c r="BG11" s="25">
        <f ca="1">BF11+'(Other Computations)'!B8*(BF7-BF11)/Inputs!B13/12</f>
        <v>1167386.891819837</v>
      </c>
      <c r="BH11" s="25">
        <f ca="1">BG11+'(Other Computations)'!B8*(BG7-BG11)/Inputs!B13/12</f>
        <v>1167338.7053560738</v>
      </c>
      <c r="BI11" s="25">
        <f ca="1">BH11+'(Other Computations)'!B8*(BH7-BH11)/Inputs!B13/12</f>
        <v>1167331.9881596041</v>
      </c>
      <c r="BJ11" s="25">
        <f ca="1">BI11+'(Other Computations)'!B8*(BI7-BI11)/Inputs!B13/12</f>
        <v>1167288.0980307001</v>
      </c>
      <c r="BK11" s="25">
        <f ca="1">BJ11+'(Other Computations)'!B8*(BJ7-BJ11)/Inputs!B13/12</f>
        <v>1167402.3406042908</v>
      </c>
      <c r="BL11" s="25">
        <f ca="1">BK11+'(Other Computations)'!B8*(BK7-BK11)/Inputs!B13/12</f>
        <v>1167336.0964430843</v>
      </c>
      <c r="BM11" s="25">
        <f ca="1">BL11+'(Other Computations)'!B8*(BL7-BL11)/Inputs!B13/12</f>
        <v>1167443.9536471502</v>
      </c>
      <c r="BN11" s="26">
        <f ca="1">SUM(BB11:BM11)</f>
        <v>14008993.103753887</v>
      </c>
      <c r="BO11" s="25">
        <f ca="1">BM11+'(Other Computations)'!B8*(BM7-BM11)/Inputs!B13/12</f>
        <v>1167330.3207480686</v>
      </c>
      <c r="BP11" s="25">
        <f ca="1">BO11+'(Other Computations)'!B8*(BO7-BO11)/Inputs!B13/12</f>
        <v>1167408.661667356</v>
      </c>
      <c r="BQ11" s="25">
        <f ca="1">BP11+'(Other Computations)'!B8*(BP7-BP11)/Inputs!B13/12</f>
        <v>1167523.7853354882</v>
      </c>
      <c r="BR11" s="25">
        <f ca="1">BQ11+'(Other Computations)'!B8*(BQ7-BQ11)/Inputs!B13/12</f>
        <v>1167508.8941028821</v>
      </c>
      <c r="BS11" s="25">
        <f ca="1">BR11+'(Other Computations)'!B8*(BR7-BR11)/Inputs!B13/12</f>
        <v>1167442.7009817383</v>
      </c>
      <c r="BT11" s="25">
        <f ca="1">BS11+'(Other Computations)'!B8*(BS7-BS11)/Inputs!B13/12</f>
        <v>1167585.1899334812</v>
      </c>
      <c r="BU11" s="25">
        <f ca="1">BT11+'(Other Computations)'!B8*(BT7-BT11)/Inputs!B13/12</f>
        <v>1167516.6538725996</v>
      </c>
      <c r="BV11" s="25">
        <f ca="1">BU11+'(Other Computations)'!B8*(BU7-BU11)/Inputs!B13/12</f>
        <v>1167601.7345477287</v>
      </c>
      <c r="BW11" s="25">
        <f ca="1">BV11+'(Other Computations)'!B8*(BV7-BV11)/Inputs!B13/12</f>
        <v>1167649.4946650618</v>
      </c>
      <c r="BX11" s="25">
        <f ca="1">BW11+'(Other Computations)'!B8*(BW7-BW11)/Inputs!B13/12</f>
        <v>1167754.8170220449</v>
      </c>
      <c r="BY11" s="25">
        <f ca="1">BX11+'(Other Computations)'!B8*(BX7-BX11)/Inputs!B13/12</f>
        <v>1167735.1741145703</v>
      </c>
      <c r="BZ11" s="25">
        <f ca="1">BY11+'(Other Computations)'!B8*(BY7-BY11)/Inputs!B13/12</f>
        <v>1167645.832744909</v>
      </c>
      <c r="CA11" s="26">
        <f ca="1">SUM(BO11:BZ11)</f>
        <v>14010703.259735929</v>
      </c>
      <c r="CB11" s="25">
        <f ca="1">BZ11+'(Other Computations)'!B8*(BZ7-BZ11)/Inputs!B13/12</f>
        <v>1167662.6822230082</v>
      </c>
      <c r="CC11" s="25">
        <f ca="1">CB11+'(Other Computations)'!B8*(CB7-CB11)/Inputs!B13/12</f>
        <v>1167630.9506386905</v>
      </c>
      <c r="CD11" s="25">
        <f ca="1">CC11+'(Other Computations)'!B8*(CC7-CC11)/Inputs!B13/12</f>
        <v>1167595.16451834</v>
      </c>
      <c r="CE11" s="25">
        <f ca="1">CD11+'(Other Computations)'!B8*(CD7-CD11)/Inputs!B13/12</f>
        <v>1167563.2996224023</v>
      </c>
      <c r="CF11" s="25">
        <f ca="1">CE11+'(Other Computations)'!B8*(CE7-CE11)/Inputs!B13/12</f>
        <v>1167546.2838727552</v>
      </c>
      <c r="CG11" s="25">
        <f ca="1">CF11+'(Other Computations)'!B8*(CF7-CF11)/Inputs!B13/12</f>
        <v>1167606.9380141348</v>
      </c>
      <c r="CH11" s="25">
        <f ca="1">CG11+'(Other Computations)'!B8*(CG7-CG11)/Inputs!B13/12</f>
        <v>1167562.840181137</v>
      </c>
      <c r="CI11" s="25">
        <f ca="1">CH11+'(Other Computations)'!B8*(CH7-CH11)/Inputs!B13/12</f>
        <v>1167493.9047480936</v>
      </c>
      <c r="CJ11" s="25">
        <f ca="1">CI11+'(Other Computations)'!B8*(CI7-CI11)/Inputs!B13/12</f>
        <v>1167418.7962971111</v>
      </c>
      <c r="CK11" s="25">
        <f ca="1">CJ11+'(Other Computations)'!B8*(CJ7-CJ11)/Inputs!B13/12</f>
        <v>1167411.79894168</v>
      </c>
      <c r="CL11" s="25">
        <f ca="1">CK11+'(Other Computations)'!B8*(CK7-CK11)/Inputs!B13/12</f>
        <v>1167330.2548944422</v>
      </c>
      <c r="CM11" s="25">
        <f ca="1">CL11+'(Other Computations)'!B8*(CL7-CL11)/Inputs!B13/12</f>
        <v>1167395.7206533011</v>
      </c>
      <c r="CN11" s="26">
        <f ca="1">SUM(CB11:CM11)</f>
        <v>14010218.634605095</v>
      </c>
      <c r="CO11" s="25">
        <f ca="1">CM11+'(Other Computations)'!B8*(CM7-CM11)/Inputs!B13/12</f>
        <v>1167430.6308555817</v>
      </c>
      <c r="CP11" s="25">
        <f ca="1">CO11+'(Other Computations)'!B8*(CO7-CO11)/Inputs!B13/12</f>
        <v>1167333.0146690141</v>
      </c>
      <c r="CQ11" s="25">
        <f ca="1">CP11+'(Other Computations)'!B8*(CP7-CP11)/Inputs!B13/12</f>
        <v>1167224.3262847911</v>
      </c>
      <c r="CR11" s="25">
        <f ca="1">CQ11+'(Other Computations)'!B8*(CQ7-CQ11)/Inputs!B13/12</f>
        <v>1167161.6730291068</v>
      </c>
      <c r="CS11" s="25">
        <f ca="1">CR11+'(Other Computations)'!B8*(CR7-CR11)/Inputs!B13/12</f>
        <v>1167126.7492489438</v>
      </c>
      <c r="CT11" s="25">
        <f ca="1">CS11+'(Other Computations)'!B8*(CS7-CS11)/Inputs!B13/12</f>
        <v>1167082.3311101357</v>
      </c>
      <c r="CU11" s="25">
        <f ca="1">CT11+'(Other Computations)'!B8*(CT7-CT11)/Inputs!B13/12</f>
        <v>1167076.4508727787</v>
      </c>
      <c r="CV11" s="25">
        <f ca="1">CU11+'(Other Computations)'!B8*(CU7-CU11)/Inputs!B13/12</f>
        <v>1167143.6174623156</v>
      </c>
      <c r="CW11" s="25">
        <f ca="1">CV11+'(Other Computations)'!B8*(CV7-CV11)/Inputs!B13/12</f>
        <v>1167183.3531492963</v>
      </c>
      <c r="CX11" s="25">
        <f ca="1">CW11+'(Other Computations)'!B8*(CW7-CW11)/Inputs!B13/12</f>
        <v>1167234.3522021093</v>
      </c>
      <c r="CY11" s="25">
        <f ca="1">CX11+'(Other Computations)'!B8*(CX7-CX11)/Inputs!B13/12</f>
        <v>1167197.7229215314</v>
      </c>
      <c r="CZ11" s="25">
        <f ca="1">CY11+'(Other Computations)'!B8*(CY7-CY11)/Inputs!B13/12</f>
        <v>1167199.7226771805</v>
      </c>
      <c r="DA11" s="26">
        <f ca="1">SUM(CO11:CZ11)</f>
        <v>14006393.944482787</v>
      </c>
      <c r="DB11" s="25">
        <f ca="1">CZ11+'(Other Computations)'!B8*(CZ7-CZ11)/Inputs!B13/12</f>
        <v>1167281.7004665311</v>
      </c>
      <c r="DC11" s="25">
        <f ca="1">DB11+'(Other Computations)'!B8*(DB7-DB11)/Inputs!B13/12</f>
        <v>1167315.0661444643</v>
      </c>
      <c r="DD11" s="25">
        <f ca="1">DC11+'(Other Computations)'!B8*(DC7-DC11)/Inputs!B13/12</f>
        <v>1167344.7446068446</v>
      </c>
      <c r="DE11" s="25">
        <f ca="1">DD11+'(Other Computations)'!B8*(DD7-DD11)/Inputs!B13/12</f>
        <v>1167229.08945688</v>
      </c>
      <c r="DF11" s="25">
        <f ca="1">DE11+'(Other Computations)'!B8*(DE7-DE11)/Inputs!B13/12</f>
        <v>1167125.3854885036</v>
      </c>
      <c r="DG11" s="25">
        <f ca="1">DF11+'(Other Computations)'!B8*(DF7-DF11)/Inputs!B13/12</f>
        <v>1167094.0080481071</v>
      </c>
      <c r="DH11" s="25">
        <f ca="1">DG11+'(Other Computations)'!B8*(DG7-DG11)/Inputs!B13/12</f>
        <v>1167115.6406760584</v>
      </c>
      <c r="DI11" s="25">
        <f ca="1">DH11+'(Other Computations)'!B8*(DH7-DH11)/Inputs!B13/12</f>
        <v>1167042.8672465973</v>
      </c>
      <c r="DJ11" s="25">
        <f ca="1">DI11+'(Other Computations)'!B8*(DI7-DI11)/Inputs!B13/12</f>
        <v>1166973.3142607231</v>
      </c>
      <c r="DK11" s="25">
        <f ca="1">DJ11+'(Other Computations)'!B8*(DJ7-DJ11)/Inputs!B13/12</f>
        <v>1166993.5160019782</v>
      </c>
      <c r="DL11" s="25">
        <f ca="1">DK11+'(Other Computations)'!B8*(DK7-DK11)/Inputs!B13/12</f>
        <v>1167007.128121021</v>
      </c>
      <c r="DM11" s="25">
        <f ca="1">DL11+'(Other Computations)'!B8*(DL7-DL11)/Inputs!B13/12</f>
        <v>1167064.5309570327</v>
      </c>
      <c r="DN11" s="26">
        <f ca="1">SUM(DB11:DM11)</f>
        <v>14005586.991474742</v>
      </c>
      <c r="DO11" s="25">
        <f ca="1">DM11+'(Other Computations)'!B8*(DM7-DM11)/Inputs!B13/12</f>
        <v>1166923.658346226</v>
      </c>
      <c r="DP11" s="25">
        <f ca="1">DO11+'(Other Computations)'!B8*(DO7-DO11)/Inputs!B13/12</f>
        <v>1166958.2368575516</v>
      </c>
      <c r="DQ11" s="25">
        <f ca="1">DP11+'(Other Computations)'!B8*(DP7-DP11)/Inputs!B13/12</f>
        <v>1166911.3774046167</v>
      </c>
      <c r="DR11" s="25">
        <f ca="1">DQ11+'(Other Computations)'!B8*(DQ7-DQ11)/Inputs!B13/12</f>
        <v>1166830.0923762664</v>
      </c>
      <c r="DS11" s="25">
        <f ca="1">DR11+'(Other Computations)'!B8*(DR7-DR11)/Inputs!B13/12</f>
        <v>1166891.0235087452</v>
      </c>
      <c r="DT11" s="25">
        <f ca="1">DS11+'(Other Computations)'!B8*(DS7-DS11)/Inputs!B13/12</f>
        <v>1166883.8088975896</v>
      </c>
      <c r="DU11" s="25">
        <f ca="1">DT11+'(Other Computations)'!B8*(DT7-DT11)/Inputs!B13/12</f>
        <v>1166788.2699279326</v>
      </c>
      <c r="DV11" s="25">
        <f ca="1">DU11+'(Other Computations)'!B8*(DU7-DU11)/Inputs!B13/12</f>
        <v>1166885.916965124</v>
      </c>
      <c r="DW11" s="25">
        <f ca="1">DV11+'(Other Computations)'!B8*(DV7-DV11)/Inputs!B13/12</f>
        <v>1166926.3476284116</v>
      </c>
      <c r="DX11" s="25">
        <f ca="1">DW11+'(Other Computations)'!B8*(DW7-DW11)/Inputs!B13/12</f>
        <v>1166824.9714467528</v>
      </c>
      <c r="DY11" s="25">
        <f ca="1">DX11+'(Other Computations)'!B8*(DX7-DX11)/Inputs!B13/12</f>
        <v>1166857.1231013688</v>
      </c>
      <c r="DZ11" s="25">
        <f ca="1">DY11+'(Other Computations)'!B8*(DY7-DY11)/Inputs!B13/12</f>
        <v>1166870.0359221818</v>
      </c>
      <c r="EA11" s="26">
        <f ca="1">SUM(DO11:DZ11)</f>
        <v>14002550.862382766</v>
      </c>
      <c r="EB11" s="25">
        <f ca="1">DZ11+'(Other Computations)'!B8*(DZ7-DZ11)/Inputs!B13/12</f>
        <v>1166950.8750552272</v>
      </c>
      <c r="EC11" s="25">
        <f ca="1">EB11+'(Other Computations)'!B8*(EB7-EB11)/Inputs!B13/12</f>
        <v>1166844.9985532342</v>
      </c>
      <c r="ED11" s="25">
        <f ca="1">EC11+'(Other Computations)'!B8*(EC7-EC11)/Inputs!B13/12</f>
        <v>1166748.8394477686</v>
      </c>
      <c r="EE11" s="25">
        <f ca="1">ED11+'(Other Computations)'!B8*(ED7-ED11)/Inputs!B13/12</f>
        <v>1166778.3240163624</v>
      </c>
      <c r="EF11" s="25">
        <f ca="1">EE11+'(Other Computations)'!B8*(EE7-EE11)/Inputs!B13/12</f>
        <v>1166690.4461983321</v>
      </c>
      <c r="EG11" s="25">
        <f ca="1">EF11+'(Other Computations)'!B8*(EF7-EF11)/Inputs!B13/12</f>
        <v>1166790.7417192149</v>
      </c>
      <c r="EH11" s="25">
        <f ca="1">EG11+'(Other Computations)'!B8*(EG7-EG11)/Inputs!B13/12</f>
        <v>1166754.0091810594</v>
      </c>
      <c r="EI11" s="25">
        <f ca="1">EH11+'(Other Computations)'!B8*(EH7-EH11)/Inputs!B13/12</f>
        <v>1166622.6738064315</v>
      </c>
      <c r="EJ11" s="25">
        <f ca="1">EI11+'(Other Computations)'!B8*(EI7-EI11)/Inputs!B13/12</f>
        <v>1166648.3318518072</v>
      </c>
      <c r="EK11" s="25">
        <f ca="1">EJ11+'(Other Computations)'!B8*(EJ7-EJ11)/Inputs!B13/12</f>
        <v>1166520.9046510514</v>
      </c>
      <c r="EL11" s="25">
        <f ca="1">EK11+'(Other Computations)'!B8*(EK7-EK11)/Inputs!B13/12</f>
        <v>1166601.2738931836</v>
      </c>
      <c r="EM11" s="25">
        <f ca="1">EL11+'(Other Computations)'!B8*(EL7-EL11)/Inputs!B13/12</f>
        <v>1166571.3585445834</v>
      </c>
      <c r="EN11" s="26">
        <f ca="1">SUM(EB11:EM11)</f>
        <v>14000522.776918255</v>
      </c>
    </row>
    <row r="12" spans="1:144" ht="12.75" customHeight="1" x14ac:dyDescent="0.2">
      <c r="A12" s="5"/>
      <c r="B12" s="24"/>
      <c r="C12" s="24"/>
      <c r="D12" s="24"/>
      <c r="E12" s="24"/>
      <c r="F12" s="24"/>
      <c r="G12" s="24"/>
      <c r="H12" s="24"/>
      <c r="I12" s="24"/>
      <c r="J12" s="24"/>
      <c r="K12" s="24"/>
      <c r="L12" s="24"/>
      <c r="M12" s="24"/>
      <c r="N12" s="5"/>
      <c r="O12" s="24"/>
      <c r="P12" s="24"/>
      <c r="Q12" s="24"/>
      <c r="R12" s="24"/>
      <c r="S12" s="24"/>
      <c r="T12" s="24"/>
      <c r="U12" s="24"/>
      <c r="V12" s="24"/>
      <c r="W12" s="24"/>
      <c r="X12" s="24"/>
      <c r="Y12" s="24"/>
      <c r="Z12" s="24"/>
      <c r="AA12" s="5"/>
      <c r="AB12" s="24"/>
      <c r="AC12" s="24"/>
      <c r="AD12" s="24"/>
      <c r="AE12" s="24"/>
      <c r="AF12" s="24"/>
      <c r="AG12" s="24"/>
      <c r="AH12" s="24"/>
      <c r="AI12" s="24"/>
      <c r="AJ12" s="24"/>
      <c r="AK12" s="24"/>
      <c r="AL12" s="24"/>
      <c r="AM12" s="24"/>
      <c r="AN12" s="5"/>
      <c r="AO12" s="24"/>
      <c r="AP12" s="24"/>
      <c r="AQ12" s="24"/>
      <c r="AR12" s="24"/>
      <c r="AS12" s="24"/>
      <c r="AT12" s="24"/>
      <c r="AU12" s="24"/>
      <c r="AV12" s="24"/>
      <c r="AW12" s="24"/>
      <c r="AX12" s="24"/>
      <c r="AY12" s="24"/>
      <c r="AZ12" s="24"/>
      <c r="BA12" s="5"/>
      <c r="BB12" s="24"/>
      <c r="BC12" s="24"/>
      <c r="BD12" s="24"/>
      <c r="BE12" s="24"/>
      <c r="BF12" s="24"/>
      <c r="BG12" s="24"/>
      <c r="BH12" s="24"/>
      <c r="BI12" s="24"/>
      <c r="BJ12" s="24"/>
      <c r="BK12" s="24"/>
      <c r="BL12" s="24"/>
      <c r="BM12" s="24"/>
      <c r="BN12" s="5"/>
      <c r="BO12" s="24"/>
      <c r="BP12" s="24"/>
      <c r="BQ12" s="24"/>
      <c r="BR12" s="24"/>
      <c r="BS12" s="24"/>
      <c r="BT12" s="24"/>
      <c r="BU12" s="24"/>
      <c r="BV12" s="24"/>
      <c r="BW12" s="24"/>
      <c r="BX12" s="24"/>
      <c r="BY12" s="24"/>
      <c r="BZ12" s="24"/>
      <c r="CA12" s="5"/>
      <c r="CB12" s="24"/>
      <c r="CC12" s="24"/>
      <c r="CD12" s="24"/>
      <c r="CE12" s="24"/>
      <c r="CF12" s="24"/>
      <c r="CG12" s="24"/>
      <c r="CH12" s="24"/>
      <c r="CI12" s="24"/>
      <c r="CJ12" s="24"/>
      <c r="CK12" s="24"/>
      <c r="CL12" s="24"/>
      <c r="CM12" s="24"/>
      <c r="CN12" s="5"/>
      <c r="CO12" s="24"/>
      <c r="CP12" s="24"/>
      <c r="CQ12" s="24"/>
      <c r="CR12" s="24"/>
      <c r="CS12" s="24"/>
      <c r="CT12" s="24"/>
      <c r="CU12" s="24"/>
      <c r="CV12" s="24"/>
      <c r="CW12" s="24"/>
      <c r="CX12" s="24"/>
      <c r="CY12" s="24"/>
      <c r="CZ12" s="24"/>
      <c r="DA12" s="5"/>
      <c r="DB12" s="24"/>
      <c r="DC12" s="24"/>
      <c r="DD12" s="24"/>
      <c r="DE12" s="24"/>
      <c r="DF12" s="24"/>
      <c r="DG12" s="24"/>
      <c r="DH12" s="24"/>
      <c r="DI12" s="24"/>
      <c r="DJ12" s="24"/>
      <c r="DK12" s="24"/>
      <c r="DL12" s="24"/>
      <c r="DM12" s="24"/>
      <c r="DN12" s="5"/>
      <c r="DO12" s="24"/>
      <c r="DP12" s="24"/>
      <c r="DQ12" s="24"/>
      <c r="DR12" s="24"/>
      <c r="DS12" s="24"/>
      <c r="DT12" s="24"/>
      <c r="DU12" s="24"/>
      <c r="DV12" s="24"/>
      <c r="DW12" s="24"/>
      <c r="DX12" s="24"/>
      <c r="DY12" s="24"/>
      <c r="DZ12" s="24"/>
      <c r="EA12" s="5"/>
      <c r="EB12" s="24"/>
      <c r="EC12" s="24"/>
      <c r="ED12" s="24"/>
      <c r="EE12" s="24"/>
      <c r="EF12" s="24"/>
      <c r="EG12" s="24"/>
      <c r="EH12" s="24"/>
      <c r="EI12" s="24"/>
      <c r="EJ12" s="24"/>
      <c r="EK12" s="24"/>
      <c r="EL12" s="24"/>
      <c r="EM12" s="24"/>
      <c r="EN12" s="5"/>
    </row>
    <row r="13" spans="1:144" ht="12.75" customHeight="1" x14ac:dyDescent="0.2">
      <c r="A13" s="11" t="str">
        <f>Labels!B20</f>
        <v>Short Expected Demand</v>
      </c>
      <c r="B13" s="25">
        <f>Output!B13+'(Other Computations)'!B8*0/Inputs!B14/12</f>
        <v>1166666.6666666667</v>
      </c>
      <c r="C13" s="25">
        <f ca="1">B13+'(Other Computations)'!B8*(B7-B13)/Inputs!B14/12</f>
        <v>1166632.3325374452</v>
      </c>
      <c r="D13" s="25">
        <f ca="1">C13+'(Other Computations)'!B8*(C7-C13)/Inputs!B14/12</f>
        <v>1166199.1977823139</v>
      </c>
      <c r="E13" s="25">
        <f ca="1">D13+'(Other Computations)'!B8*(D7-D13)/Inputs!B14/12</f>
        <v>1166870.8032567748</v>
      </c>
      <c r="F13" s="25">
        <f ca="1">E13+'(Other Computations)'!B8*(E7-E13)/Inputs!B14/12</f>
        <v>1167657.1490496069</v>
      </c>
      <c r="G13" s="25">
        <f ca="1">F13+'(Other Computations)'!B8*(F7-F13)/Inputs!B14/12</f>
        <v>1166898.4034215473</v>
      </c>
      <c r="H13" s="25">
        <f ca="1">G13+'(Other Computations)'!B8*(G7-G13)/Inputs!B14/12</f>
        <v>1166985.4994081631</v>
      </c>
      <c r="I13" s="25">
        <f ca="1">H13+'(Other Computations)'!B8*(H7-H13)/Inputs!B14/12</f>
        <v>1166847.2965208273</v>
      </c>
      <c r="J13" s="25">
        <f ca="1">I13+'(Other Computations)'!B8*(I7-I13)/Inputs!B14/12</f>
        <v>1166966.6988300101</v>
      </c>
      <c r="K13" s="25">
        <f ca="1">J13+'(Other Computations)'!B8*(J7-J13)/Inputs!B14/12</f>
        <v>1167289.8543637327</v>
      </c>
      <c r="L13" s="25">
        <f ca="1">K13+'(Other Computations)'!B8*(K7-K13)/Inputs!B14/12</f>
        <v>1167358.2562538495</v>
      </c>
      <c r="M13" s="25">
        <f ca="1">L13+'(Other Computations)'!B8*(L7-L13)/Inputs!B14/12</f>
        <v>1167554.8889635543</v>
      </c>
      <c r="N13" s="26">
        <f ca="1">SUM(B13:M13)</f>
        <v>14003927.047054492</v>
      </c>
      <c r="O13" s="25">
        <f ca="1">M13+'(Other Computations)'!B8*(M7-M13)/Inputs!B14/12</f>
        <v>1167783.5152665465</v>
      </c>
      <c r="P13" s="25">
        <f ca="1">O13+'(Other Computations)'!B8*(O7-O13)/Inputs!B14/12</f>
        <v>1167532.3108508235</v>
      </c>
      <c r="Q13" s="25">
        <f ca="1">P13+'(Other Computations)'!B8*(P7-P13)/Inputs!B14/12</f>
        <v>1168205.2614493622</v>
      </c>
      <c r="R13" s="25">
        <f ca="1">Q13+'(Other Computations)'!B8*(Q7-Q13)/Inputs!B14/12</f>
        <v>1167653.8494421635</v>
      </c>
      <c r="S13" s="25">
        <f ca="1">R13+'(Other Computations)'!B8*(R7-R13)/Inputs!B14/12</f>
        <v>1168087.5479223272</v>
      </c>
      <c r="T13" s="25">
        <f ca="1">S13+'(Other Computations)'!B8*(S7-S13)/Inputs!B14/12</f>
        <v>1168784.3298835196</v>
      </c>
      <c r="U13" s="25">
        <f ca="1">T13+'(Other Computations)'!B8*(T7-T13)/Inputs!B14/12</f>
        <v>1169586.6063701243</v>
      </c>
      <c r="V13" s="25">
        <f ca="1">U13+'(Other Computations)'!B8*(U7-U13)/Inputs!B14/12</f>
        <v>1168707.5169486266</v>
      </c>
      <c r="W13" s="25">
        <f ca="1">V13+'(Other Computations)'!B8*(V7-V13)/Inputs!B14/12</f>
        <v>1168763.6936360986</v>
      </c>
      <c r="X13" s="25">
        <f ca="1">W13+'(Other Computations)'!B8*(W7-W13)/Inputs!B14/12</f>
        <v>1169321.2911954892</v>
      </c>
      <c r="Y13" s="25">
        <f ca="1">X13+'(Other Computations)'!B8*(X7-X13)/Inputs!B14/12</f>
        <v>1168548.6678384221</v>
      </c>
      <c r="Z13" s="25">
        <f ca="1">Y13+'(Other Computations)'!B8*(Y7-Y13)/Inputs!B14/12</f>
        <v>1168789.8486520501</v>
      </c>
      <c r="AA13" s="26">
        <f ca="1">SUM(O13:Z13)</f>
        <v>14021764.439455554</v>
      </c>
      <c r="AB13" s="25">
        <f ca="1">Z13+'(Other Computations)'!B8*(Z7-Z13)/Inputs!B14/12</f>
        <v>1168759.7035965445</v>
      </c>
      <c r="AC13" s="25">
        <f ca="1">AB13+'(Other Computations)'!B8*(AB7-AB13)/Inputs!B14/12</f>
        <v>1169159.3016845628</v>
      </c>
      <c r="AD13" s="25">
        <f ca="1">AC13+'(Other Computations)'!B8*(AC7-AC13)/Inputs!B14/12</f>
        <v>1169656.3243846095</v>
      </c>
      <c r="AE13" s="25">
        <f ca="1">AD13+'(Other Computations)'!B8*(AD7-AD13)/Inputs!B14/12</f>
        <v>1169882.7379593041</v>
      </c>
      <c r="AF13" s="25">
        <f ca="1">AE13+'(Other Computations)'!B8*(AE7-AE13)/Inputs!B14/12</f>
        <v>1170437.5426555711</v>
      </c>
      <c r="AG13" s="25">
        <f ca="1">AF13+'(Other Computations)'!B8*(AF7-AF13)/Inputs!B14/12</f>
        <v>1170985.3021298654</v>
      </c>
      <c r="AH13" s="25">
        <f ca="1">AG13+'(Other Computations)'!B8*(AG7-AG13)/Inputs!B14/12</f>
        <v>1170862.9296757223</v>
      </c>
      <c r="AI13" s="25">
        <f ca="1">AH13+'(Other Computations)'!B8*(AH7-AH13)/Inputs!B14/12</f>
        <v>1170576.3914215898</v>
      </c>
      <c r="AJ13" s="25">
        <f ca="1">AI13+'(Other Computations)'!B8*(AI7-AI13)/Inputs!B14/12</f>
        <v>1170265.1521430151</v>
      </c>
      <c r="AK13" s="25">
        <f ca="1">AJ13+'(Other Computations)'!B8*(AJ7-AJ13)/Inputs!B14/12</f>
        <v>1170703.8306610105</v>
      </c>
      <c r="AL13" s="25">
        <f ca="1">AK13+'(Other Computations)'!B8*(AK7-AK13)/Inputs!B14/12</f>
        <v>1170186.5488137971</v>
      </c>
      <c r="AM13" s="25">
        <f ca="1">AL13+'(Other Computations)'!B8*(AL7-AL13)/Inputs!B14/12</f>
        <v>1170168.6053679844</v>
      </c>
      <c r="AN13" s="26">
        <f ca="1">SUM(AB13:AM13)</f>
        <v>14041644.370493576</v>
      </c>
      <c r="AO13" s="25">
        <f ca="1">AM13+'(Other Computations)'!B8*(AM7-AM13)/Inputs!B14/12</f>
        <v>1169948.5733433831</v>
      </c>
      <c r="AP13" s="25">
        <f ca="1">AO13+'(Other Computations)'!B8*(AO7-AO13)/Inputs!B14/12</f>
        <v>1169843.7820353145</v>
      </c>
      <c r="AQ13" s="25">
        <f ca="1">AP13+'(Other Computations)'!B8*(AP7-AP13)/Inputs!B14/12</f>
        <v>1169831.0250041464</v>
      </c>
      <c r="AR13" s="25">
        <f ca="1">AQ13+'(Other Computations)'!B8*(AQ7-AQ13)/Inputs!B14/12</f>
        <v>1169271.9661562641</v>
      </c>
      <c r="AS13" s="25">
        <f ca="1">AR13+'(Other Computations)'!B8*(AR7-AR13)/Inputs!B14/12</f>
        <v>1169437.8200629244</v>
      </c>
      <c r="AT13" s="25">
        <f ca="1">AS13+'(Other Computations)'!B8*(AS7-AS13)/Inputs!B14/12</f>
        <v>1169287.4825191232</v>
      </c>
      <c r="AU13" s="25">
        <f ca="1">AT13+'(Other Computations)'!B8*(AT7-AT13)/Inputs!B14/12</f>
        <v>1169507.2369950474</v>
      </c>
      <c r="AV13" s="25">
        <f ca="1">AU13+'(Other Computations)'!B8*(AU7-AU13)/Inputs!B14/12</f>
        <v>1169790.790640793</v>
      </c>
      <c r="AW13" s="25">
        <f ca="1">AV13+'(Other Computations)'!B8*(AV7-AV13)/Inputs!B14/12</f>
        <v>1169866.5050204701</v>
      </c>
      <c r="AX13" s="25">
        <f ca="1">AW13+'(Other Computations)'!B8*(AW7-AW13)/Inputs!B14/12</f>
        <v>1170555.3265217992</v>
      </c>
      <c r="AY13" s="25">
        <f ca="1">AX13+'(Other Computations)'!B8*(AX7-AX13)/Inputs!B14/12</f>
        <v>1170102.2937391552</v>
      </c>
      <c r="AZ13" s="25">
        <f ca="1">AY13+'(Other Computations)'!B8*(AY7-AY13)/Inputs!B14/12</f>
        <v>1169573.9030070663</v>
      </c>
      <c r="BA13" s="26">
        <f ca="1">SUM(AO13:AZ13)</f>
        <v>14037016.705045486</v>
      </c>
      <c r="BB13" s="25">
        <f ca="1">AZ13+'(Other Computations)'!B8*(AZ7-AZ13)/Inputs!B14/12</f>
        <v>1170221.4047077689</v>
      </c>
      <c r="BC13" s="25">
        <f ca="1">BB13+'(Other Computations)'!B8*(BB7-BB13)/Inputs!B14/12</f>
        <v>1170916.2446308702</v>
      </c>
      <c r="BD13" s="25">
        <f ca="1">BC13+'(Other Computations)'!B8*(BC7-BC13)/Inputs!B14/12</f>
        <v>1170483.9091769389</v>
      </c>
      <c r="BE13" s="25">
        <f ca="1">BD13+'(Other Computations)'!B8*(BD7-BD13)/Inputs!B14/12</f>
        <v>1170067.1335033595</v>
      </c>
      <c r="BF13" s="25">
        <f ca="1">BE13+'(Other Computations)'!B8*(BE7-BE13)/Inputs!B14/12</f>
        <v>1170204.4301333483</v>
      </c>
      <c r="BG13" s="25">
        <f ca="1">BF13+'(Other Computations)'!B8*(BF7-BF13)/Inputs!B14/12</f>
        <v>1169623.9408092413</v>
      </c>
      <c r="BH13" s="25">
        <f ca="1">BG13+'(Other Computations)'!B8*(BG7-BG13)/Inputs!B14/12</f>
        <v>1169303.7519018091</v>
      </c>
      <c r="BI13" s="25">
        <f ca="1">BH13+'(Other Computations)'!B8*(BH7-BH13)/Inputs!B14/12</f>
        <v>1169236.1564098564</v>
      </c>
      <c r="BJ13" s="25">
        <f ca="1">BI13+'(Other Computations)'!B8*(BI7-BI13)/Inputs!B14/12</f>
        <v>1168946.3688551793</v>
      </c>
      <c r="BK13" s="25">
        <f ca="1">BJ13+'(Other Computations)'!B8*(BJ7-BJ13)/Inputs!B14/12</f>
        <v>1169608.7927574948</v>
      </c>
      <c r="BL13" s="25">
        <f ca="1">BK13+'(Other Computations)'!B8*(BK7-BK13)/Inputs!B14/12</f>
        <v>1169180.6826214609</v>
      </c>
      <c r="BM13" s="25">
        <f ca="1">BL13+'(Other Computations)'!B8*(BL7-BL13)/Inputs!B14/12</f>
        <v>1169802.2065933791</v>
      </c>
      <c r="BN13" s="26">
        <f ca="1">SUM(BB13:BM13)</f>
        <v>14037595.022100708</v>
      </c>
      <c r="BO13" s="25">
        <f ca="1">BM13+'(Other Computations)'!B8*(BM7-BM13)/Inputs!B14/12</f>
        <v>1169087.6556857477</v>
      </c>
      <c r="BP13" s="25">
        <f ca="1">BO13+'(Other Computations)'!B8*(BO7-BO13)/Inputs!B14/12</f>
        <v>1169533.2937717817</v>
      </c>
      <c r="BQ13" s="25">
        <f ca="1">BP13+'(Other Computations)'!B8*(BP7-BP13)/Inputs!B14/12</f>
        <v>1170194.5270013458</v>
      </c>
      <c r="BR13" s="25">
        <f ca="1">BQ13+'(Other Computations)'!B8*(BQ7-BQ13)/Inputs!B14/12</f>
        <v>1170068.0859714614</v>
      </c>
      <c r="BS13" s="25">
        <f ca="1">BR13+'(Other Computations)'!B8*(BR7-BR13)/Inputs!B14/12</f>
        <v>1169635.3829130901</v>
      </c>
      <c r="BT13" s="25">
        <f ca="1">BS13+'(Other Computations)'!B8*(BS7-BS13)/Inputs!B14/12</f>
        <v>1170459.862707834</v>
      </c>
      <c r="BU13" s="25">
        <f ca="1">BT13+'(Other Computations)'!B8*(BT7-BT13)/Inputs!B14/12</f>
        <v>1170008.7203317895</v>
      </c>
      <c r="BV13" s="25">
        <f ca="1">BU13+'(Other Computations)'!B8*(BU7-BU13)/Inputs!B14/12</f>
        <v>1170484.5923484091</v>
      </c>
      <c r="BW13" s="25">
        <f ca="1">BV13+'(Other Computations)'!B8*(BV7-BV13)/Inputs!B14/12</f>
        <v>1170731.1133607323</v>
      </c>
      <c r="BX13" s="25">
        <f ca="1">BW13+'(Other Computations)'!B8*(BW7-BW13)/Inputs!B14/12</f>
        <v>1171320.2472429688</v>
      </c>
      <c r="BY13" s="25">
        <f ca="1">BX13+'(Other Computations)'!B8*(BX7-BX13)/Inputs!B14/12</f>
        <v>1171152.8699339412</v>
      </c>
      <c r="BZ13" s="25">
        <f ca="1">BY13+'(Other Computations)'!B8*(BY7-BY13)/Inputs!B14/12</f>
        <v>1170569.3537184824</v>
      </c>
      <c r="CA13" s="26">
        <f ca="1">SUM(BO13:BZ13)</f>
        <v>14043245.704987584</v>
      </c>
      <c r="CB13" s="25">
        <f ca="1">BZ13+'(Other Computations)'!B8*(BZ7-BZ13)/Inputs!B14/12</f>
        <v>1170629.8461291119</v>
      </c>
      <c r="CC13" s="25">
        <f ca="1">CB13+'(Other Computations)'!B8*(CB7-CB13)/Inputs!B14/12</f>
        <v>1170398.2460133978</v>
      </c>
      <c r="CD13" s="25">
        <f ca="1">CC13+'(Other Computations)'!B8*(CC7-CC13)/Inputs!B14/12</f>
        <v>1170145.0946333131</v>
      </c>
      <c r="CE13" s="25">
        <f ca="1">CD13+'(Other Computations)'!B8*(CD7-CD13)/Inputs!B14/12</f>
        <v>1169918.4895616453</v>
      </c>
      <c r="CF13" s="25">
        <f ca="1">CE13+'(Other Computations)'!B8*(CE7-CE13)/Inputs!B14/12</f>
        <v>1169783.6840923841</v>
      </c>
      <c r="CG13" s="25">
        <f ca="1">CF13+'(Other Computations)'!B8*(CF7-CF13)/Inputs!B14/12</f>
        <v>1170116.5339376107</v>
      </c>
      <c r="CH13" s="25">
        <f ca="1">CG13+'(Other Computations)'!B8*(CG7-CG13)/Inputs!B14/12</f>
        <v>1169817.0914406874</v>
      </c>
      <c r="CI13" s="25">
        <f ca="1">CH13+'(Other Computations)'!B8*(CH7-CH13)/Inputs!B14/12</f>
        <v>1169372.1697971558</v>
      </c>
      <c r="CJ13" s="25">
        <f ca="1">CI13+'(Other Computations)'!B8*(CI7-CI13)/Inputs!B14/12</f>
        <v>1168895.4320766912</v>
      </c>
      <c r="CK13" s="25">
        <f ca="1">CJ13+'(Other Computations)'!B8*(CJ7-CJ13)/Inputs!B14/12</f>
        <v>1168832.9391138328</v>
      </c>
      <c r="CL13" s="25">
        <f ca="1">CK13+'(Other Computations)'!B8*(CK7-CK13)/Inputs!B14/12</f>
        <v>1168323.9367724587</v>
      </c>
      <c r="CM13" s="25">
        <f ca="1">CL13+'(Other Computations)'!B8*(CL7-CL13)/Inputs!B14/12</f>
        <v>1168702.9301884181</v>
      </c>
      <c r="CN13" s="26">
        <f ca="1">SUM(CB13:CM13)</f>
        <v>14034936.393756706</v>
      </c>
      <c r="CO13" s="25">
        <f ca="1">CM13+'(Other Computations)'!B8*(CM7-CM13)/Inputs!B14/12</f>
        <v>1168894.2357141133</v>
      </c>
      <c r="CP13" s="25">
        <f ca="1">CO13+'(Other Computations)'!B8*(CO7-CO13)/Inputs!B14/12</f>
        <v>1168288.2107494508</v>
      </c>
      <c r="CQ13" s="25">
        <f ca="1">CP13+'(Other Computations)'!B8*(CP7-CP13)/Inputs!B14/12</f>
        <v>1167622.8138318842</v>
      </c>
      <c r="CR13" s="25">
        <f ca="1">CQ13+'(Other Computations)'!B8*(CQ7-CQ13)/Inputs!B14/12</f>
        <v>1167241.3597485137</v>
      </c>
      <c r="CS13" s="25">
        <f ca="1">CR13+'(Other Computations)'!B8*(CR7-CR13)/Inputs!B14/12</f>
        <v>1167030.7103075436</v>
      </c>
      <c r="CT13" s="25">
        <f ca="1">CS13+'(Other Computations)'!B8*(CS7-CS13)/Inputs!B14/12</f>
        <v>1166765.5353488808</v>
      </c>
      <c r="CU13" s="25">
        <f ca="1">CT13+'(Other Computations)'!B8*(CT7-CT13)/Inputs!B14/12</f>
        <v>1166734.6538658673</v>
      </c>
      <c r="CV13" s="25">
        <f ca="1">CU13+'(Other Computations)'!B8*(CU7-CU13)/Inputs!B14/12</f>
        <v>1167142.4005837406</v>
      </c>
      <c r="CW13" s="25">
        <f ca="1">CV13+'(Other Computations)'!B8*(CV7-CV13)/Inputs!B14/12</f>
        <v>1167380.8316067157</v>
      </c>
      <c r="CX13" s="25">
        <f ca="1">CW13+'(Other Computations)'!B8*(CW7-CW13)/Inputs!B14/12</f>
        <v>1167684.0831672407</v>
      </c>
      <c r="CY13" s="25">
        <f ca="1">CX13+'(Other Computations)'!B8*(CX7-CX13)/Inputs!B14/12</f>
        <v>1167458.0612203688</v>
      </c>
      <c r="CZ13" s="25">
        <f ca="1">CY13+'(Other Computations)'!B8*(CY7-CY13)/Inputs!B14/12</f>
        <v>1167466.4439445576</v>
      </c>
      <c r="DA13" s="26">
        <f ca="1">SUM(CO13:CZ13)</f>
        <v>14009709.340088878</v>
      </c>
      <c r="DB13" s="25">
        <f ca="1">CZ13+'(Other Computations)'!B8*(CZ7-CZ13)/Inputs!B14/12</f>
        <v>1167954.6062186139</v>
      </c>
      <c r="DC13" s="25">
        <f ca="1">DB13+'(Other Computations)'!B8*(DB7-DB13)/Inputs!B14/12</f>
        <v>1168145.4543729892</v>
      </c>
      <c r="DD13" s="25">
        <f ca="1">DC13+'(Other Computations)'!B8*(DC7-DC13)/Inputs!B14/12</f>
        <v>1168311.9919774304</v>
      </c>
      <c r="DE13" s="25">
        <f ca="1">DD13+'(Other Computations)'!B8*(DD7-DD13)/Inputs!B14/12</f>
        <v>1167604.6270863842</v>
      </c>
      <c r="DF13" s="25">
        <f ca="1">DE13+'(Other Computations)'!B8*(DE7-DE13)/Inputs!B14/12</f>
        <v>1166977.187475716</v>
      </c>
      <c r="DG13" s="25">
        <f ca="1">DF13+'(Other Computations)'!B8*(DF7-DF13)/Inputs!B14/12</f>
        <v>1166790.9811390708</v>
      </c>
      <c r="DH13" s="25">
        <f ca="1">DG13+'(Other Computations)'!B8*(DG7-DG13)/Inputs!B14/12</f>
        <v>1166924.9856138476</v>
      </c>
      <c r="DI13" s="25">
        <f ca="1">DH13+'(Other Computations)'!B8*(DH7-DH13)/Inputs!B14/12</f>
        <v>1166490.993024057</v>
      </c>
      <c r="DJ13" s="25">
        <f ca="1">DI13+'(Other Computations)'!B8*(DI7-DI13)/Inputs!B14/12</f>
        <v>1166081.3400285691</v>
      </c>
      <c r="DK13" s="25">
        <f ca="1">DJ13+'(Other Computations)'!B8*(DJ7-DJ13)/Inputs!B14/12</f>
        <v>1166214.9390071013</v>
      </c>
      <c r="DL13" s="25">
        <f ca="1">DK13+'(Other Computations)'!B8*(DK7-DK13)/Inputs!B14/12</f>
        <v>1166307.4252907319</v>
      </c>
      <c r="DM13" s="25">
        <f ca="1">DL13+'(Other Computations)'!B8*(DL7-DL13)/Inputs!B14/12</f>
        <v>1166661.5604016671</v>
      </c>
      <c r="DN13" s="26">
        <f ca="1">SUM(DB13:DM13)</f>
        <v>14004466.091636177</v>
      </c>
      <c r="DO13" s="25">
        <f ca="1">DM13+'(Other Computations)'!B8*(DM7-DM13)/Inputs!B14/12</f>
        <v>1165821.9215500958</v>
      </c>
      <c r="DP13" s="25">
        <f ca="1">DO13+'(Other Computations)'!B8*(DO7-DO13)/Inputs!B14/12</f>
        <v>1166044.6945179957</v>
      </c>
      <c r="DQ13" s="25">
        <f ca="1">DP13+'(Other Computations)'!B8*(DP7-DP13)/Inputs!B14/12</f>
        <v>1165776.225888435</v>
      </c>
      <c r="DR13" s="25">
        <f ca="1">DQ13+'(Other Computations)'!B8*(DQ7-DQ13)/Inputs!B14/12</f>
        <v>1165304.281711614</v>
      </c>
      <c r="DS13" s="25">
        <f ca="1">DR13+'(Other Computations)'!B8*(DR7-DR13)/Inputs!B14/12</f>
        <v>1165691.0603212737</v>
      </c>
      <c r="DT13" s="25">
        <f ca="1">DS13+'(Other Computations)'!B8*(DS7-DS13)/Inputs!B14/12</f>
        <v>1165664.438809721</v>
      </c>
      <c r="DU13" s="25">
        <f ca="1">DT13+'(Other Computations)'!B8*(DT7-DT13)/Inputs!B14/12</f>
        <v>1165108.1406874438</v>
      </c>
      <c r="DV13" s="25">
        <f ca="1">DU13+'(Other Computations)'!B8*(DU7-DU13)/Inputs!B14/12</f>
        <v>1165717.3580389316</v>
      </c>
      <c r="DW13" s="25">
        <f ca="1">DV13+'(Other Computations)'!B8*(DV7-DV13)/Inputs!B14/12</f>
        <v>1165976.172003743</v>
      </c>
      <c r="DX13" s="25">
        <f ca="1">DW13+'(Other Computations)'!B8*(DW7-DW13)/Inputs!B14/12</f>
        <v>1165381.1117974664</v>
      </c>
      <c r="DY13" s="25">
        <f ca="1">DX13+'(Other Computations)'!B8*(DX7-DX13)/Inputs!B14/12</f>
        <v>1165594.0753314025</v>
      </c>
      <c r="DZ13" s="25">
        <f ca="1">DY13+'(Other Computations)'!B8*(DY7-DY13)/Inputs!B14/12</f>
        <v>1165689.0945864187</v>
      </c>
      <c r="EA13" s="26">
        <f ca="1">SUM(DO13:DZ13)</f>
        <v>13987768.57524454</v>
      </c>
      <c r="EB13" s="25">
        <f ca="1">DZ13+'(Other Computations)'!B8*(DZ7-DZ13)/Inputs!B14/12</f>
        <v>1166190.5313476883</v>
      </c>
      <c r="EC13" s="25">
        <f ca="1">EB13+'(Other Computations)'!B8*(EB7-EB13)/Inputs!B14/12</f>
        <v>1165565.832665001</v>
      </c>
      <c r="ED13" s="25">
        <f ca="1">EC13+'(Other Computations)'!B8*(EC7-EC13)/Inputs!B14/12</f>
        <v>1165006.6442251003</v>
      </c>
      <c r="EE13" s="25">
        <f ca="1">ED13+'(Other Computations)'!B8*(ED7-ED13)/Inputs!B14/12</f>
        <v>1165207.748792534</v>
      </c>
      <c r="EF13" s="25">
        <f ca="1">EE13+'(Other Computations)'!B8*(EE7-EE13)/Inputs!B14/12</f>
        <v>1164702.2954291278</v>
      </c>
      <c r="EG13" s="25">
        <f ca="1">EF13+'(Other Computations)'!B8*(EF7-EF13)/Inputs!B14/12</f>
        <v>1165331.681759553</v>
      </c>
      <c r="EH13" s="25">
        <f ca="1">EG13+'(Other Computations)'!B8*(EG7-EG13)/Inputs!B14/12</f>
        <v>1165131.5512522818</v>
      </c>
      <c r="EI13" s="25">
        <f ca="1">EH13+'(Other Computations)'!B8*(EH7-EH13)/Inputs!B14/12</f>
        <v>1164366.0731424135</v>
      </c>
      <c r="EJ13" s="25">
        <f ca="1">EI13+'(Other Computations)'!B8*(EI7-EI13)/Inputs!B14/12</f>
        <v>1164551.3630905563</v>
      </c>
      <c r="EK13" s="25">
        <f ca="1">EJ13+'(Other Computations)'!B8*(EJ7-EJ13)/Inputs!B14/12</f>
        <v>1163815.9244521502</v>
      </c>
      <c r="EL13" s="25">
        <f ca="1">EK13+'(Other Computations)'!B8*(EK7-EK13)/Inputs!B14/12</f>
        <v>1164335.7090743722</v>
      </c>
      <c r="EM13" s="25">
        <f ca="1">EL13+'(Other Computations)'!B8*(EL7-EL13)/Inputs!B14/12</f>
        <v>1164187.6831608105</v>
      </c>
      <c r="EN13" s="26">
        <f ca="1">SUM(EB13:EM13)</f>
        <v>13978393.038391586</v>
      </c>
    </row>
    <row r="14" spans="1:144" ht="12.75" customHeight="1" x14ac:dyDescent="0.2">
      <c r="A14" s="5"/>
      <c r="B14" s="24"/>
      <c r="C14" s="24"/>
      <c r="D14" s="24"/>
      <c r="E14" s="24"/>
      <c r="F14" s="24"/>
      <c r="G14" s="24"/>
      <c r="H14" s="24"/>
      <c r="I14" s="24"/>
      <c r="J14" s="24"/>
      <c r="K14" s="24"/>
      <c r="L14" s="24"/>
      <c r="M14" s="24"/>
      <c r="N14" s="5"/>
      <c r="O14" s="24"/>
      <c r="P14" s="24"/>
      <c r="Q14" s="24"/>
      <c r="R14" s="24"/>
      <c r="S14" s="24"/>
      <c r="T14" s="24"/>
      <c r="U14" s="24"/>
      <c r="V14" s="24"/>
      <c r="W14" s="24"/>
      <c r="X14" s="24"/>
      <c r="Y14" s="24"/>
      <c r="Z14" s="24"/>
      <c r="AA14" s="5"/>
      <c r="AB14" s="24"/>
      <c r="AC14" s="24"/>
      <c r="AD14" s="24"/>
      <c r="AE14" s="24"/>
      <c r="AF14" s="24"/>
      <c r="AG14" s="24"/>
      <c r="AH14" s="24"/>
      <c r="AI14" s="24"/>
      <c r="AJ14" s="24"/>
      <c r="AK14" s="24"/>
      <c r="AL14" s="24"/>
      <c r="AM14" s="24"/>
      <c r="AN14" s="5"/>
      <c r="AO14" s="24"/>
      <c r="AP14" s="24"/>
      <c r="AQ14" s="24"/>
      <c r="AR14" s="24"/>
      <c r="AS14" s="24"/>
      <c r="AT14" s="24"/>
      <c r="AU14" s="24"/>
      <c r="AV14" s="24"/>
      <c r="AW14" s="24"/>
      <c r="AX14" s="24"/>
      <c r="AY14" s="24"/>
      <c r="AZ14" s="24"/>
      <c r="BA14" s="5"/>
      <c r="BB14" s="24"/>
      <c r="BC14" s="24"/>
      <c r="BD14" s="24"/>
      <c r="BE14" s="24"/>
      <c r="BF14" s="24"/>
      <c r="BG14" s="24"/>
      <c r="BH14" s="24"/>
      <c r="BI14" s="24"/>
      <c r="BJ14" s="24"/>
      <c r="BK14" s="24"/>
      <c r="BL14" s="24"/>
      <c r="BM14" s="24"/>
      <c r="BN14" s="5"/>
      <c r="BO14" s="24"/>
      <c r="BP14" s="24"/>
      <c r="BQ14" s="24"/>
      <c r="BR14" s="24"/>
      <c r="BS14" s="24"/>
      <c r="BT14" s="24"/>
      <c r="BU14" s="24"/>
      <c r="BV14" s="24"/>
      <c r="BW14" s="24"/>
      <c r="BX14" s="24"/>
      <c r="BY14" s="24"/>
      <c r="BZ14" s="24"/>
      <c r="CA14" s="5"/>
      <c r="CB14" s="24"/>
      <c r="CC14" s="24"/>
      <c r="CD14" s="24"/>
      <c r="CE14" s="24"/>
      <c r="CF14" s="24"/>
      <c r="CG14" s="24"/>
      <c r="CH14" s="24"/>
      <c r="CI14" s="24"/>
      <c r="CJ14" s="24"/>
      <c r="CK14" s="24"/>
      <c r="CL14" s="24"/>
      <c r="CM14" s="24"/>
      <c r="CN14" s="5"/>
      <c r="CO14" s="24"/>
      <c r="CP14" s="24"/>
      <c r="CQ14" s="24"/>
      <c r="CR14" s="24"/>
      <c r="CS14" s="24"/>
      <c r="CT14" s="24"/>
      <c r="CU14" s="24"/>
      <c r="CV14" s="24"/>
      <c r="CW14" s="24"/>
      <c r="CX14" s="24"/>
      <c r="CY14" s="24"/>
      <c r="CZ14" s="24"/>
      <c r="DA14" s="5"/>
      <c r="DB14" s="24"/>
      <c r="DC14" s="24"/>
      <c r="DD14" s="24"/>
      <c r="DE14" s="24"/>
      <c r="DF14" s="24"/>
      <c r="DG14" s="24"/>
      <c r="DH14" s="24"/>
      <c r="DI14" s="24"/>
      <c r="DJ14" s="24"/>
      <c r="DK14" s="24"/>
      <c r="DL14" s="24"/>
      <c r="DM14" s="24"/>
      <c r="DN14" s="5"/>
      <c r="DO14" s="24"/>
      <c r="DP14" s="24"/>
      <c r="DQ14" s="24"/>
      <c r="DR14" s="24"/>
      <c r="DS14" s="24"/>
      <c r="DT14" s="24"/>
      <c r="DU14" s="24"/>
      <c r="DV14" s="24"/>
      <c r="DW14" s="24"/>
      <c r="DX14" s="24"/>
      <c r="DY14" s="24"/>
      <c r="DZ14" s="24"/>
      <c r="EA14" s="5"/>
      <c r="EB14" s="24"/>
      <c r="EC14" s="24"/>
      <c r="ED14" s="24"/>
      <c r="EE14" s="24"/>
      <c r="EF14" s="24"/>
      <c r="EG14" s="24"/>
      <c r="EH14" s="24"/>
      <c r="EI14" s="24"/>
      <c r="EJ14" s="24"/>
      <c r="EK14" s="24"/>
      <c r="EL14" s="24"/>
      <c r="EM14" s="24"/>
      <c r="EN14" s="5"/>
    </row>
    <row r="15" spans="1:144" ht="12.75" customHeight="1" x14ac:dyDescent="0.2">
      <c r="A15" s="11" t="str">
        <f>Labels!B16</f>
        <v>Consumption</v>
      </c>
      <c r="B15" s="25">
        <f>Inputs!B34*Income!B13</f>
        <v>728000</v>
      </c>
      <c r="C15" s="25">
        <f ca="1">Inputs!B34*Income!C13</f>
        <v>728037.29786648613</v>
      </c>
      <c r="D15" s="25">
        <f ca="1">Inputs!B34*Income!D13</f>
        <v>728056.14826905227</v>
      </c>
      <c r="E15" s="25">
        <f ca="1">Inputs!B34*Income!E13</f>
        <v>728104.27679268376</v>
      </c>
      <c r="F15" s="25">
        <f ca="1">Inputs!B34*Income!F13</f>
        <v>728083.867468599</v>
      </c>
      <c r="G15" s="25">
        <f ca="1">Inputs!B34*Income!G13</f>
        <v>728163.00742718275</v>
      </c>
      <c r="H15" s="25">
        <f ca="1">Inputs!B34*Income!H13</f>
        <v>728204.11891653342</v>
      </c>
      <c r="I15" s="25">
        <f ca="1">Inputs!B34*Income!I13</f>
        <v>728285.10302619811</v>
      </c>
      <c r="J15" s="25">
        <f ca="1">Inputs!B34*Income!J13</f>
        <v>728261.80456213723</v>
      </c>
      <c r="K15" s="25">
        <f ca="1">Inputs!B34*Income!K13</f>
        <v>728284.97796363244</v>
      </c>
      <c r="L15" s="25">
        <f ca="1">Inputs!B34*Income!L13</f>
        <v>728317.20933972311</v>
      </c>
      <c r="M15" s="25">
        <f ca="1">Inputs!B34*Income!M13</f>
        <v>728315.26061949763</v>
      </c>
      <c r="N15" s="26">
        <f ca="1">SUM(B15:M15)</f>
        <v>8738113.0722517259</v>
      </c>
      <c r="O15" s="25">
        <f ca="1">Inputs!B34*Income!O13</f>
        <v>728265.98572606919</v>
      </c>
      <c r="P15" s="25">
        <f ca="1">Inputs!B34*Income!P13</f>
        <v>728260.11851221242</v>
      </c>
      <c r="Q15" s="25">
        <f ca="1">Inputs!B34*Income!Q13</f>
        <v>728209.50624857622</v>
      </c>
      <c r="R15" s="25">
        <f ca="1">Inputs!B34*Income!R13</f>
        <v>728195.65536847257</v>
      </c>
      <c r="S15" s="25">
        <f ca="1">Inputs!B34*Income!S13</f>
        <v>728195.77275938448</v>
      </c>
      <c r="T15" s="25">
        <f ca="1">Inputs!B34*Income!T13</f>
        <v>728231.66610992583</v>
      </c>
      <c r="U15" s="25">
        <f ca="1">Inputs!B34*Income!U13</f>
        <v>728195.2507504496</v>
      </c>
      <c r="V15" s="25">
        <f ca="1">Inputs!B34*Income!V13</f>
        <v>728213.71605909511</v>
      </c>
      <c r="W15" s="25">
        <f ca="1">Inputs!B34*Income!W13</f>
        <v>728239.26893140248</v>
      </c>
      <c r="X15" s="25">
        <f ca="1">Inputs!B34*Income!X13</f>
        <v>728211.77406678477</v>
      </c>
      <c r="Y15" s="25">
        <f ca="1">Inputs!B34*Income!Y13</f>
        <v>728193.71261201333</v>
      </c>
      <c r="Z15" s="25">
        <f ca="1">Inputs!B34*Income!Z13</f>
        <v>728170.25783932488</v>
      </c>
      <c r="AA15" s="26">
        <f ca="1">SUM(O15:Z15)</f>
        <v>8738582.6849837117</v>
      </c>
      <c r="AB15" s="25">
        <f ca="1">Inputs!B34*Income!AB13</f>
        <v>728162.32555863832</v>
      </c>
      <c r="AC15" s="25">
        <f ca="1">Inputs!B34*Income!AC13</f>
        <v>728120.99907298072</v>
      </c>
      <c r="AD15" s="25">
        <f ca="1">Inputs!B34*Income!AD13</f>
        <v>728155.27192836767</v>
      </c>
      <c r="AE15" s="25">
        <f ca="1">Inputs!B34*Income!AE13</f>
        <v>728249.32635996188</v>
      </c>
      <c r="AF15" s="25">
        <f ca="1">Inputs!B34*Income!AF13</f>
        <v>728241.90403256298</v>
      </c>
      <c r="AG15" s="25">
        <f ca="1">Inputs!B34*Income!AG13</f>
        <v>728186.64945713978</v>
      </c>
      <c r="AH15" s="25">
        <f ca="1">Inputs!B34*Income!AH13</f>
        <v>728137.39026907156</v>
      </c>
      <c r="AI15" s="25">
        <f ca="1">Inputs!B34*Income!AI13</f>
        <v>728171.58779593359</v>
      </c>
      <c r="AJ15" s="25">
        <f ca="1">Inputs!B34*Income!AJ13</f>
        <v>728131.31334441609</v>
      </c>
      <c r="AK15" s="25">
        <f ca="1">Inputs!B34*Income!AK13</f>
        <v>728047.97413647303</v>
      </c>
      <c r="AL15" s="25">
        <f ca="1">Inputs!B34*Income!AL13</f>
        <v>728096.55213402014</v>
      </c>
      <c r="AM15" s="25">
        <f ca="1">Inputs!B34*Income!AM13</f>
        <v>728123.80390661489</v>
      </c>
      <c r="AN15" s="26">
        <f ca="1">SUM(AB15:AM15)</f>
        <v>8737825.0979961809</v>
      </c>
      <c r="AO15" s="25">
        <f ca="1">Inputs!B34*Income!AO13</f>
        <v>728145.62887391599</v>
      </c>
      <c r="AP15" s="25">
        <f ca="1">Inputs!B34*Income!AP13</f>
        <v>728161.86351524119</v>
      </c>
      <c r="AQ15" s="25">
        <f ca="1">Inputs!B34*Income!AQ13</f>
        <v>728224.68687921134</v>
      </c>
      <c r="AR15" s="25">
        <f ca="1">Inputs!B34*Income!AR13</f>
        <v>728243.68182679417</v>
      </c>
      <c r="AS15" s="25">
        <f ca="1">Inputs!B34*Income!AS13</f>
        <v>728206.55728586565</v>
      </c>
      <c r="AT15" s="25">
        <f ca="1">Inputs!B34*Income!AT13</f>
        <v>728187.71371715004</v>
      </c>
      <c r="AU15" s="25">
        <f ca="1">Inputs!B34*Income!AU13</f>
        <v>728262.02841373626</v>
      </c>
      <c r="AV15" s="25">
        <f ca="1">Inputs!B34*Income!AV13</f>
        <v>728243.87182571203</v>
      </c>
      <c r="AW15" s="25">
        <f ca="1">Inputs!B34*Income!AW13</f>
        <v>728188.48415542138</v>
      </c>
      <c r="AX15" s="25">
        <f ca="1">Inputs!B34*Income!AX13</f>
        <v>728117.63131669781</v>
      </c>
      <c r="AY15" s="25">
        <f ca="1">Inputs!B34*Income!AY13</f>
        <v>728163.36163095839</v>
      </c>
      <c r="AZ15" s="25">
        <f ca="1">Inputs!B34*Income!AZ13</f>
        <v>728152.86462899065</v>
      </c>
      <c r="BA15" s="26">
        <f ca="1">SUM(AO15:AZ15)</f>
        <v>8738298.3740696944</v>
      </c>
      <c r="BB15" s="25">
        <f ca="1">Inputs!B34*Income!BB13</f>
        <v>728151.06680543197</v>
      </c>
      <c r="BC15" s="25">
        <f ca="1">Inputs!B34*Income!BC13</f>
        <v>728151.22429893247</v>
      </c>
      <c r="BD15" s="25">
        <f ca="1">Inputs!B34*Income!BD13</f>
        <v>728175.42490001384</v>
      </c>
      <c r="BE15" s="25">
        <f ca="1">Inputs!B34*Income!BE13</f>
        <v>728217.68717621884</v>
      </c>
      <c r="BF15" s="25">
        <f ca="1">Inputs!B34*Income!BF13</f>
        <v>728207.51906397077</v>
      </c>
      <c r="BG15" s="25">
        <f ca="1">Inputs!B34*Income!BG13</f>
        <v>728287.75617404992</v>
      </c>
      <c r="BH15" s="25">
        <f ca="1">Inputs!B34*Income!BH13</f>
        <v>728263.95714859001</v>
      </c>
      <c r="BI15" s="25">
        <f ca="1">Inputs!B34*Income!BI13</f>
        <v>728243.42129995138</v>
      </c>
      <c r="BJ15" s="25">
        <f ca="1">Inputs!B34*Income!BJ13</f>
        <v>728199.69649597467</v>
      </c>
      <c r="BK15" s="25">
        <f ca="1">Inputs!B34*Income!BK13</f>
        <v>728177.71478895238</v>
      </c>
      <c r="BL15" s="25">
        <f ca="1">Inputs!B34*Income!BL13</f>
        <v>728211.30087003787</v>
      </c>
      <c r="BM15" s="25">
        <f ca="1">Inputs!B34*Income!BM13</f>
        <v>728257.95934273454</v>
      </c>
      <c r="BN15" s="26">
        <f ca="1">SUM(BB15:BM15)</f>
        <v>8738544.7283648569</v>
      </c>
      <c r="BO15" s="25">
        <f ca="1">Inputs!B34*Income!BO13</f>
        <v>728261.92349317274</v>
      </c>
      <c r="BP15" s="25">
        <f ca="1">Inputs!B34*Income!BP13</f>
        <v>728254.36170338502</v>
      </c>
      <c r="BQ15" s="25">
        <f ca="1">Inputs!B34*Income!BQ13</f>
        <v>728205.79862436163</v>
      </c>
      <c r="BR15" s="25">
        <f ca="1">Inputs!B34*Income!BR13</f>
        <v>728221.48719231086</v>
      </c>
      <c r="BS15" s="25">
        <f ca="1">Inputs!B34*Income!BS13</f>
        <v>728170.51836972451</v>
      </c>
      <c r="BT15" s="25">
        <f ca="1">Inputs!B34*Income!BT13</f>
        <v>728234.37451534299</v>
      </c>
      <c r="BU15" s="25">
        <f ca="1">Inputs!B34*Income!BU13</f>
        <v>728229.71816097281</v>
      </c>
      <c r="BV15" s="25">
        <f ca="1">Inputs!B34*Income!BV13</f>
        <v>728202.78996985452</v>
      </c>
      <c r="BW15" s="25">
        <f ca="1">Inputs!B34*Income!BW13</f>
        <v>728186.67242465005</v>
      </c>
      <c r="BX15" s="25">
        <f ca="1">Inputs!B34*Income!BX13</f>
        <v>728207.07899072114</v>
      </c>
      <c r="BY15" s="25">
        <f ca="1">Inputs!B34*Income!BY13</f>
        <v>728196.94574725698</v>
      </c>
      <c r="BZ15" s="25">
        <f ca="1">Inputs!B34*Income!BZ13</f>
        <v>728286.33055021975</v>
      </c>
      <c r="CA15" s="26">
        <f ca="1">SUM(BO15:BZ15)</f>
        <v>8738657.9997419734</v>
      </c>
      <c r="CB15" s="25">
        <f ca="1">Inputs!B34*Income!CB13</f>
        <v>728363.0511366314</v>
      </c>
      <c r="CC15" s="25">
        <f ca="1">Inputs!B34*Income!CC13</f>
        <v>728317.31660532334</v>
      </c>
      <c r="CD15" s="25">
        <f ca="1">Inputs!B34*Income!CD13</f>
        <v>728339.84039702616</v>
      </c>
      <c r="CE15" s="25">
        <f ca="1">Inputs!B34*Income!CE13</f>
        <v>728355.35297330027</v>
      </c>
      <c r="CF15" s="25">
        <f ca="1">Inputs!B34*Income!CF13</f>
        <v>728408.65269345976</v>
      </c>
      <c r="CG15" s="25">
        <f ca="1">Inputs!B34*Income!CG13</f>
        <v>728436.98841622949</v>
      </c>
      <c r="CH15" s="25">
        <f ca="1">Inputs!B34*Income!CH13</f>
        <v>728426.72350980586</v>
      </c>
      <c r="CI15" s="25">
        <f ca="1">Inputs!B34*Income!CI13</f>
        <v>728379.97868867381</v>
      </c>
      <c r="CJ15" s="25">
        <f ca="1">Inputs!B34*Income!CJ13</f>
        <v>728328.58088694245</v>
      </c>
      <c r="CK15" s="25">
        <f ca="1">Inputs!B34*Income!CK13</f>
        <v>728328.46190086473</v>
      </c>
      <c r="CL15" s="25">
        <f ca="1">Inputs!B34*Income!CL13</f>
        <v>728381.05355829361</v>
      </c>
      <c r="CM15" s="25">
        <f ca="1">Inputs!B34*Income!CM13</f>
        <v>728402.10733589588</v>
      </c>
      <c r="CN15" s="26">
        <f ca="1">SUM(CB15:CM15)</f>
        <v>8740468.1081024464</v>
      </c>
      <c r="CO15" s="25">
        <f ca="1">Inputs!B34*Income!CO13</f>
        <v>728487.22157448332</v>
      </c>
      <c r="CP15" s="25">
        <f ca="1">Inputs!B34*Income!CP13</f>
        <v>728443.23202610598</v>
      </c>
      <c r="CQ15" s="25">
        <f ca="1">Inputs!B34*Income!CQ13</f>
        <v>728378.27998785768</v>
      </c>
      <c r="CR15" s="25">
        <f ca="1">Inputs!B34*Income!CR13</f>
        <v>728406.1153642307</v>
      </c>
      <c r="CS15" s="25">
        <f ca="1">Inputs!B34*Income!CS13</f>
        <v>728452.07065705594</v>
      </c>
      <c r="CT15" s="25">
        <f ca="1">Inputs!B34*Income!CT13</f>
        <v>728468.78577733436</v>
      </c>
      <c r="CU15" s="25">
        <f ca="1">Inputs!B34*Income!CU13</f>
        <v>728505.14066061145</v>
      </c>
      <c r="CV15" s="25">
        <f ca="1">Inputs!B34*Income!CV13</f>
        <v>728451.25864910148</v>
      </c>
      <c r="CW15" s="25">
        <f ca="1">Inputs!B34*Income!CW13</f>
        <v>728367.83729504934</v>
      </c>
      <c r="CX15" s="25">
        <f ca="1">Inputs!B34*Income!CX13</f>
        <v>728310.30577593576</v>
      </c>
      <c r="CY15" s="25">
        <f ca="1">Inputs!B34*Income!CY13</f>
        <v>728262.83271159802</v>
      </c>
      <c r="CZ15" s="25">
        <f ca="1">Inputs!B34*Income!CZ13</f>
        <v>728243.10477453121</v>
      </c>
      <c r="DA15" s="26">
        <f ca="1">SUM(CO15:CZ15)</f>
        <v>8740776.1852538958</v>
      </c>
      <c r="DB15" s="25">
        <f ca="1">Inputs!B34*Income!DB13</f>
        <v>728225.40798548039</v>
      </c>
      <c r="DC15" s="25">
        <f ca="1">Inputs!B34*Income!DC13</f>
        <v>728262.91746541986</v>
      </c>
      <c r="DD15" s="25">
        <f ca="1">Inputs!B34*Income!DD13</f>
        <v>728273.49386638624</v>
      </c>
      <c r="DE15" s="25">
        <f ca="1">Inputs!B34*Income!DE13</f>
        <v>728254.39767716487</v>
      </c>
      <c r="DF15" s="25">
        <f ca="1">Inputs!B34*Income!DF13</f>
        <v>728269.28238947899</v>
      </c>
      <c r="DG15" s="25">
        <f ca="1">Inputs!B34*Income!DG13</f>
        <v>728214.40392443223</v>
      </c>
      <c r="DH15" s="25">
        <f ca="1">Inputs!B34*Income!DH13</f>
        <v>728222.99145653297</v>
      </c>
      <c r="DI15" s="25">
        <f ca="1">Inputs!B34*Income!DI13</f>
        <v>728222.55532215512</v>
      </c>
      <c r="DJ15" s="25">
        <f ca="1">Inputs!B34*Income!DJ13</f>
        <v>728144.03177754558</v>
      </c>
      <c r="DK15" s="25">
        <f ca="1">Inputs!B34*Income!DK13</f>
        <v>728139.05447688117</v>
      </c>
      <c r="DL15" s="25">
        <f ca="1">Inputs!B34*Income!DL13</f>
        <v>728179.10352957738</v>
      </c>
      <c r="DM15" s="25">
        <f ca="1">Inputs!B34*Income!DM13</f>
        <v>728237.67028366402</v>
      </c>
      <c r="DN15" s="26">
        <f ca="1">SUM(DB15:DM15)</f>
        <v>8738645.3101547193</v>
      </c>
      <c r="DO15" s="25">
        <f ca="1">Inputs!B34*Income!DO13</f>
        <v>728241.40768880339</v>
      </c>
      <c r="DP15" s="25">
        <f ca="1">Inputs!B34*Income!DP13</f>
        <v>728235.23069363041</v>
      </c>
      <c r="DQ15" s="25">
        <f ca="1">Inputs!B34*Income!DQ13</f>
        <v>728256.041462422</v>
      </c>
      <c r="DR15" s="25">
        <f ca="1">Inputs!B34*Income!DR13</f>
        <v>728188.73829784326</v>
      </c>
      <c r="DS15" s="25">
        <f ca="1">Inputs!B34*Income!DS13</f>
        <v>728148.23815791321</v>
      </c>
      <c r="DT15" s="25">
        <f ca="1">Inputs!B34*Income!DT13</f>
        <v>728164.07233329199</v>
      </c>
      <c r="DU15" s="25">
        <f ca="1">Inputs!B34*Income!DU13</f>
        <v>728171.1542775844</v>
      </c>
      <c r="DV15" s="25">
        <f ca="1">Inputs!B34*Income!DV13</f>
        <v>728083.6760110571</v>
      </c>
      <c r="DW15" s="25">
        <f ca="1">Inputs!B34*Income!DW13</f>
        <v>728125.34983137459</v>
      </c>
      <c r="DX15" s="25">
        <f ca="1">Inputs!B34*Income!DX13</f>
        <v>728112.20779825293</v>
      </c>
      <c r="DY15" s="25">
        <f ca="1">Inputs!B34*Income!DY13</f>
        <v>728037.16725024092</v>
      </c>
      <c r="DZ15" s="25">
        <f ca="1">Inputs!B34*Income!DZ13</f>
        <v>728116.89567602798</v>
      </c>
      <c r="EA15" s="26">
        <f ca="1">SUM(DO15:DZ15)</f>
        <v>8737880.1794784423</v>
      </c>
      <c r="EB15" s="25">
        <f ca="1">Inputs!B34*Income!EB13</f>
        <v>728133.49954070302</v>
      </c>
      <c r="EC15" s="25">
        <f ca="1">Inputs!B34*Income!EC13</f>
        <v>728152.28287796292</v>
      </c>
      <c r="ED15" s="25">
        <f ca="1">Inputs!B34*Income!ED13</f>
        <v>728175.45705948293</v>
      </c>
      <c r="EE15" s="25">
        <f ca="1">Inputs!B34*Income!EE13</f>
        <v>728135.85318270698</v>
      </c>
      <c r="EF15" s="25">
        <f ca="1">Inputs!B34*Income!EF13</f>
        <v>728078.92199583258</v>
      </c>
      <c r="EG15" s="25">
        <f ca="1">Inputs!B34*Income!EG13</f>
        <v>728122.4540337146</v>
      </c>
      <c r="EH15" s="25">
        <f ca="1">Inputs!B34*Income!EH13</f>
        <v>728123.88455620827</v>
      </c>
      <c r="EI15" s="25">
        <f ca="1">Inputs!B34*Income!EI13</f>
        <v>728143.73655557493</v>
      </c>
      <c r="EJ15" s="25">
        <f ca="1">Inputs!B34*Income!EJ13</f>
        <v>728205.5183888512</v>
      </c>
      <c r="EK15" s="25">
        <f ca="1">Inputs!B34*Income!EK13</f>
        <v>728159.5941933085</v>
      </c>
      <c r="EL15" s="25">
        <f ca="1">Inputs!B34*Income!EL13</f>
        <v>728156.54897516919</v>
      </c>
      <c r="EM15" s="25">
        <f ca="1">Inputs!B34*Income!EM13</f>
        <v>728210.03286267596</v>
      </c>
      <c r="EN15" s="26">
        <f ca="1">SUM(EB15:EM15)</f>
        <v>8737797.7842221912</v>
      </c>
    </row>
    <row r="16" spans="1:144" ht="12.75" customHeight="1" x14ac:dyDescent="0.2">
      <c r="A16" s="5"/>
      <c r="B16" s="24"/>
      <c r="C16" s="24"/>
      <c r="D16" s="24"/>
      <c r="E16" s="24"/>
      <c r="F16" s="24"/>
      <c r="G16" s="24"/>
      <c r="H16" s="24"/>
      <c r="I16" s="24"/>
      <c r="J16" s="24"/>
      <c r="K16" s="24"/>
      <c r="L16" s="24"/>
      <c r="M16" s="24"/>
      <c r="N16" s="5"/>
      <c r="O16" s="24"/>
      <c r="P16" s="24"/>
      <c r="Q16" s="24"/>
      <c r="R16" s="24"/>
      <c r="S16" s="24"/>
      <c r="T16" s="24"/>
      <c r="U16" s="24"/>
      <c r="V16" s="24"/>
      <c r="W16" s="24"/>
      <c r="X16" s="24"/>
      <c r="Y16" s="24"/>
      <c r="Z16" s="24"/>
      <c r="AA16" s="5"/>
      <c r="AB16" s="24"/>
      <c r="AC16" s="24"/>
      <c r="AD16" s="24"/>
      <c r="AE16" s="24"/>
      <c r="AF16" s="24"/>
      <c r="AG16" s="24"/>
      <c r="AH16" s="24"/>
      <c r="AI16" s="24"/>
      <c r="AJ16" s="24"/>
      <c r="AK16" s="24"/>
      <c r="AL16" s="24"/>
      <c r="AM16" s="24"/>
      <c r="AN16" s="5"/>
      <c r="AO16" s="24"/>
      <c r="AP16" s="24"/>
      <c r="AQ16" s="24"/>
      <c r="AR16" s="24"/>
      <c r="AS16" s="24"/>
      <c r="AT16" s="24"/>
      <c r="AU16" s="24"/>
      <c r="AV16" s="24"/>
      <c r="AW16" s="24"/>
      <c r="AX16" s="24"/>
      <c r="AY16" s="24"/>
      <c r="AZ16" s="24"/>
      <c r="BA16" s="5"/>
      <c r="BB16" s="24"/>
      <c r="BC16" s="24"/>
      <c r="BD16" s="24"/>
      <c r="BE16" s="24"/>
      <c r="BF16" s="24"/>
      <c r="BG16" s="24"/>
      <c r="BH16" s="24"/>
      <c r="BI16" s="24"/>
      <c r="BJ16" s="24"/>
      <c r="BK16" s="24"/>
      <c r="BL16" s="24"/>
      <c r="BM16" s="24"/>
      <c r="BN16" s="5"/>
      <c r="BO16" s="24"/>
      <c r="BP16" s="24"/>
      <c r="BQ16" s="24"/>
      <c r="BR16" s="24"/>
      <c r="BS16" s="24"/>
      <c r="BT16" s="24"/>
      <c r="BU16" s="24"/>
      <c r="BV16" s="24"/>
      <c r="BW16" s="24"/>
      <c r="BX16" s="24"/>
      <c r="BY16" s="24"/>
      <c r="BZ16" s="24"/>
      <c r="CA16" s="5"/>
      <c r="CB16" s="24"/>
      <c r="CC16" s="24"/>
      <c r="CD16" s="24"/>
      <c r="CE16" s="24"/>
      <c r="CF16" s="24"/>
      <c r="CG16" s="24"/>
      <c r="CH16" s="24"/>
      <c r="CI16" s="24"/>
      <c r="CJ16" s="24"/>
      <c r="CK16" s="24"/>
      <c r="CL16" s="24"/>
      <c r="CM16" s="24"/>
      <c r="CN16" s="5"/>
      <c r="CO16" s="24"/>
      <c r="CP16" s="24"/>
      <c r="CQ16" s="24"/>
      <c r="CR16" s="24"/>
      <c r="CS16" s="24"/>
      <c r="CT16" s="24"/>
      <c r="CU16" s="24"/>
      <c r="CV16" s="24"/>
      <c r="CW16" s="24"/>
      <c r="CX16" s="24"/>
      <c r="CY16" s="24"/>
      <c r="CZ16" s="24"/>
      <c r="DA16" s="5"/>
      <c r="DB16" s="24"/>
      <c r="DC16" s="24"/>
      <c r="DD16" s="24"/>
      <c r="DE16" s="24"/>
      <c r="DF16" s="24"/>
      <c r="DG16" s="24"/>
      <c r="DH16" s="24"/>
      <c r="DI16" s="24"/>
      <c r="DJ16" s="24"/>
      <c r="DK16" s="24"/>
      <c r="DL16" s="24"/>
      <c r="DM16" s="24"/>
      <c r="DN16" s="5"/>
      <c r="DO16" s="24"/>
      <c r="DP16" s="24"/>
      <c r="DQ16" s="24"/>
      <c r="DR16" s="24"/>
      <c r="DS16" s="24"/>
      <c r="DT16" s="24"/>
      <c r="DU16" s="24"/>
      <c r="DV16" s="24"/>
      <c r="DW16" s="24"/>
      <c r="DX16" s="24"/>
      <c r="DY16" s="24"/>
      <c r="DZ16" s="24"/>
      <c r="EA16" s="5"/>
      <c r="EB16" s="24"/>
      <c r="EC16" s="24"/>
      <c r="ED16" s="24"/>
      <c r="EE16" s="24"/>
      <c r="EF16" s="24"/>
      <c r="EG16" s="24"/>
      <c r="EH16" s="24"/>
      <c r="EI16" s="24"/>
      <c r="EJ16" s="24"/>
      <c r="EK16" s="24"/>
      <c r="EL16" s="24"/>
      <c r="EM16" s="24"/>
      <c r="EN16" s="5"/>
    </row>
    <row r="17" spans="1:144" ht="12.75" customHeight="1" x14ac:dyDescent="0.2">
      <c r="A17" s="11" t="str">
        <f>Labels!B29</f>
        <v>Gov Spending</v>
      </c>
      <c r="B17" s="25">
        <f>Gov!B13</f>
        <v>233333.33333333337</v>
      </c>
      <c r="C17" s="25">
        <f>Gov!B13</f>
        <v>233333.33333333337</v>
      </c>
      <c r="D17" s="25">
        <f>Gov!B13</f>
        <v>233333.33333333337</v>
      </c>
      <c r="E17" s="25">
        <f>Gov!B13</f>
        <v>233333.33333333337</v>
      </c>
      <c r="F17" s="25">
        <f>Gov!B13</f>
        <v>233333.33333333337</v>
      </c>
      <c r="G17" s="25">
        <f>Gov!B13</f>
        <v>233333.33333333337</v>
      </c>
      <c r="H17" s="25">
        <f>Gov!B13</f>
        <v>233333.33333333337</v>
      </c>
      <c r="I17" s="25">
        <f>Gov!B13</f>
        <v>233333.33333333337</v>
      </c>
      <c r="J17" s="25">
        <f>Gov!B13</f>
        <v>233333.33333333337</v>
      </c>
      <c r="K17" s="25">
        <f>Gov!B13</f>
        <v>233333.33333333337</v>
      </c>
      <c r="L17" s="25">
        <f>Gov!B13</f>
        <v>233333.33333333337</v>
      </c>
      <c r="M17" s="25">
        <f>Gov!B13</f>
        <v>233333.33333333337</v>
      </c>
      <c r="N17" s="26">
        <f>SUM(B17:M17)</f>
        <v>2800000.0000000014</v>
      </c>
      <c r="O17" s="25">
        <f>Gov!B13</f>
        <v>233333.33333333337</v>
      </c>
      <c r="P17" s="25">
        <f>Gov!B13</f>
        <v>233333.33333333337</v>
      </c>
      <c r="Q17" s="25">
        <f>Gov!B13</f>
        <v>233333.33333333337</v>
      </c>
      <c r="R17" s="25">
        <f>Gov!B13</f>
        <v>233333.33333333337</v>
      </c>
      <c r="S17" s="25">
        <f>Gov!B13</f>
        <v>233333.33333333337</v>
      </c>
      <c r="T17" s="25">
        <f>Gov!B13</f>
        <v>233333.33333333337</v>
      </c>
      <c r="U17" s="25">
        <f>Gov!B13</f>
        <v>233333.33333333337</v>
      </c>
      <c r="V17" s="25">
        <f>Gov!B13</f>
        <v>233333.33333333337</v>
      </c>
      <c r="W17" s="25">
        <f>Gov!B13</f>
        <v>233333.33333333337</v>
      </c>
      <c r="X17" s="25">
        <f>Gov!B13</f>
        <v>233333.33333333337</v>
      </c>
      <c r="Y17" s="25">
        <f>Gov!B13</f>
        <v>233333.33333333337</v>
      </c>
      <c r="Z17" s="25">
        <f>Gov!B13</f>
        <v>233333.33333333337</v>
      </c>
      <c r="AA17" s="26">
        <f>SUM(O17:Z17)</f>
        <v>2800000.0000000014</v>
      </c>
      <c r="AB17" s="25">
        <f>Gov!B13</f>
        <v>233333.33333333337</v>
      </c>
      <c r="AC17" s="25">
        <f>Gov!B13</f>
        <v>233333.33333333337</v>
      </c>
      <c r="AD17" s="25">
        <f>Gov!B13</f>
        <v>233333.33333333337</v>
      </c>
      <c r="AE17" s="25">
        <f>Gov!B13</f>
        <v>233333.33333333337</v>
      </c>
      <c r="AF17" s="25">
        <f>Gov!B13</f>
        <v>233333.33333333337</v>
      </c>
      <c r="AG17" s="25">
        <f>Gov!B13</f>
        <v>233333.33333333337</v>
      </c>
      <c r="AH17" s="25">
        <f>Gov!B13</f>
        <v>233333.33333333337</v>
      </c>
      <c r="AI17" s="25">
        <f>Gov!B13</f>
        <v>233333.33333333337</v>
      </c>
      <c r="AJ17" s="25">
        <f>Gov!B13</f>
        <v>233333.33333333337</v>
      </c>
      <c r="AK17" s="25">
        <f>Gov!B13</f>
        <v>233333.33333333337</v>
      </c>
      <c r="AL17" s="25">
        <f>Gov!B13</f>
        <v>233333.33333333337</v>
      </c>
      <c r="AM17" s="25">
        <f>Gov!B13</f>
        <v>233333.33333333337</v>
      </c>
      <c r="AN17" s="26">
        <f>SUM(AB17:AM17)</f>
        <v>2800000.0000000014</v>
      </c>
      <c r="AO17" s="25">
        <f>Gov!B13</f>
        <v>233333.33333333337</v>
      </c>
      <c r="AP17" s="25">
        <f>Gov!B13</f>
        <v>233333.33333333337</v>
      </c>
      <c r="AQ17" s="25">
        <f>Gov!B13</f>
        <v>233333.33333333337</v>
      </c>
      <c r="AR17" s="25">
        <f>Gov!B13</f>
        <v>233333.33333333337</v>
      </c>
      <c r="AS17" s="25">
        <f>Gov!B13</f>
        <v>233333.33333333337</v>
      </c>
      <c r="AT17" s="25">
        <f>Gov!B13</f>
        <v>233333.33333333337</v>
      </c>
      <c r="AU17" s="25">
        <f>Gov!B13</f>
        <v>233333.33333333337</v>
      </c>
      <c r="AV17" s="25">
        <f>Gov!B13</f>
        <v>233333.33333333337</v>
      </c>
      <c r="AW17" s="25">
        <f>Gov!B13</f>
        <v>233333.33333333337</v>
      </c>
      <c r="AX17" s="25">
        <f>Gov!B13</f>
        <v>233333.33333333337</v>
      </c>
      <c r="AY17" s="25">
        <f>Gov!B13</f>
        <v>233333.33333333337</v>
      </c>
      <c r="AZ17" s="25">
        <f>Gov!B13</f>
        <v>233333.33333333337</v>
      </c>
      <c r="BA17" s="26">
        <f>SUM(AO17:AZ17)</f>
        <v>2800000.0000000014</v>
      </c>
      <c r="BB17" s="25">
        <f>Gov!B13</f>
        <v>233333.33333333337</v>
      </c>
      <c r="BC17" s="25">
        <f>Gov!B13</f>
        <v>233333.33333333337</v>
      </c>
      <c r="BD17" s="25">
        <f>Gov!B13</f>
        <v>233333.33333333337</v>
      </c>
      <c r="BE17" s="25">
        <f>Gov!B13</f>
        <v>233333.33333333337</v>
      </c>
      <c r="BF17" s="25">
        <f>Gov!B13</f>
        <v>233333.33333333337</v>
      </c>
      <c r="BG17" s="25">
        <f>Gov!B13</f>
        <v>233333.33333333337</v>
      </c>
      <c r="BH17" s="25">
        <f>Gov!B13</f>
        <v>233333.33333333337</v>
      </c>
      <c r="BI17" s="25">
        <f>Gov!B13</f>
        <v>233333.33333333337</v>
      </c>
      <c r="BJ17" s="25">
        <f>Gov!B13</f>
        <v>233333.33333333337</v>
      </c>
      <c r="BK17" s="25">
        <f>Gov!B13</f>
        <v>233333.33333333337</v>
      </c>
      <c r="BL17" s="25">
        <f>Gov!B13</f>
        <v>233333.33333333337</v>
      </c>
      <c r="BM17" s="25">
        <f>Gov!B13</f>
        <v>233333.33333333337</v>
      </c>
      <c r="BN17" s="26">
        <f>SUM(BB17:BM17)</f>
        <v>2800000.0000000014</v>
      </c>
      <c r="BO17" s="25">
        <f>Gov!B13</f>
        <v>233333.33333333337</v>
      </c>
      <c r="BP17" s="25">
        <f>Gov!B13</f>
        <v>233333.33333333337</v>
      </c>
      <c r="BQ17" s="25">
        <f>Gov!B13</f>
        <v>233333.33333333337</v>
      </c>
      <c r="BR17" s="25">
        <f>Gov!B13</f>
        <v>233333.33333333337</v>
      </c>
      <c r="BS17" s="25">
        <f>Gov!B13</f>
        <v>233333.33333333337</v>
      </c>
      <c r="BT17" s="25">
        <f>Gov!B13</f>
        <v>233333.33333333337</v>
      </c>
      <c r="BU17" s="25">
        <f>Gov!B13</f>
        <v>233333.33333333337</v>
      </c>
      <c r="BV17" s="25">
        <f>Gov!B13</f>
        <v>233333.33333333337</v>
      </c>
      <c r="BW17" s="25">
        <f>Gov!B13</f>
        <v>233333.33333333337</v>
      </c>
      <c r="BX17" s="25">
        <f>Gov!B13</f>
        <v>233333.33333333337</v>
      </c>
      <c r="BY17" s="25">
        <f>Gov!B13</f>
        <v>233333.33333333337</v>
      </c>
      <c r="BZ17" s="25">
        <f>Gov!B13</f>
        <v>233333.33333333337</v>
      </c>
      <c r="CA17" s="26">
        <f>SUM(BO17:BZ17)</f>
        <v>2800000.0000000014</v>
      </c>
      <c r="CB17" s="25">
        <f>Gov!B13</f>
        <v>233333.33333333337</v>
      </c>
      <c r="CC17" s="25">
        <f>Gov!B13</f>
        <v>233333.33333333337</v>
      </c>
      <c r="CD17" s="25">
        <f>Gov!B13</f>
        <v>233333.33333333337</v>
      </c>
      <c r="CE17" s="25">
        <f>Gov!B13</f>
        <v>233333.33333333337</v>
      </c>
      <c r="CF17" s="25">
        <f>Gov!B13</f>
        <v>233333.33333333337</v>
      </c>
      <c r="CG17" s="25">
        <f>Gov!B13</f>
        <v>233333.33333333337</v>
      </c>
      <c r="CH17" s="25">
        <f>Gov!B13</f>
        <v>233333.33333333337</v>
      </c>
      <c r="CI17" s="25">
        <f>Gov!B13</f>
        <v>233333.33333333337</v>
      </c>
      <c r="CJ17" s="25">
        <f>Gov!B13</f>
        <v>233333.33333333337</v>
      </c>
      <c r="CK17" s="25">
        <f>Gov!B13</f>
        <v>233333.33333333337</v>
      </c>
      <c r="CL17" s="25">
        <f>Gov!B13</f>
        <v>233333.33333333337</v>
      </c>
      <c r="CM17" s="25">
        <f>Gov!B13</f>
        <v>233333.33333333337</v>
      </c>
      <c r="CN17" s="26">
        <f>SUM(CB17:CM17)</f>
        <v>2800000.0000000014</v>
      </c>
      <c r="CO17" s="25">
        <f>Gov!B13</f>
        <v>233333.33333333337</v>
      </c>
      <c r="CP17" s="25">
        <f>Gov!B13</f>
        <v>233333.33333333337</v>
      </c>
      <c r="CQ17" s="25">
        <f>Gov!B13</f>
        <v>233333.33333333337</v>
      </c>
      <c r="CR17" s="25">
        <f>Gov!B13</f>
        <v>233333.33333333337</v>
      </c>
      <c r="CS17" s="25">
        <f>Gov!B13</f>
        <v>233333.33333333337</v>
      </c>
      <c r="CT17" s="25">
        <f>Gov!B13</f>
        <v>233333.33333333337</v>
      </c>
      <c r="CU17" s="25">
        <f>Gov!B13</f>
        <v>233333.33333333337</v>
      </c>
      <c r="CV17" s="25">
        <f>Gov!B13</f>
        <v>233333.33333333337</v>
      </c>
      <c r="CW17" s="25">
        <f>Gov!B13</f>
        <v>233333.33333333337</v>
      </c>
      <c r="CX17" s="25">
        <f>Gov!B13</f>
        <v>233333.33333333337</v>
      </c>
      <c r="CY17" s="25">
        <f>Gov!B13</f>
        <v>233333.33333333337</v>
      </c>
      <c r="CZ17" s="25">
        <f>Gov!B13</f>
        <v>233333.33333333337</v>
      </c>
      <c r="DA17" s="26">
        <f>SUM(CO17:CZ17)</f>
        <v>2800000.0000000014</v>
      </c>
      <c r="DB17" s="25">
        <f>Gov!B13</f>
        <v>233333.33333333337</v>
      </c>
      <c r="DC17" s="25">
        <f>Gov!B13</f>
        <v>233333.33333333337</v>
      </c>
      <c r="DD17" s="25">
        <f>Gov!B13</f>
        <v>233333.33333333337</v>
      </c>
      <c r="DE17" s="25">
        <f>Gov!B13</f>
        <v>233333.33333333337</v>
      </c>
      <c r="DF17" s="25">
        <f>Gov!B13</f>
        <v>233333.33333333337</v>
      </c>
      <c r="DG17" s="25">
        <f>Gov!B13</f>
        <v>233333.33333333337</v>
      </c>
      <c r="DH17" s="25">
        <f>Gov!B13</f>
        <v>233333.33333333337</v>
      </c>
      <c r="DI17" s="25">
        <f>Gov!B13</f>
        <v>233333.33333333337</v>
      </c>
      <c r="DJ17" s="25">
        <f>Gov!B13</f>
        <v>233333.33333333337</v>
      </c>
      <c r="DK17" s="25">
        <f>Gov!B13</f>
        <v>233333.33333333337</v>
      </c>
      <c r="DL17" s="25">
        <f>Gov!B13</f>
        <v>233333.33333333337</v>
      </c>
      <c r="DM17" s="25">
        <f>Gov!B13</f>
        <v>233333.33333333337</v>
      </c>
      <c r="DN17" s="26">
        <f>SUM(DB17:DM17)</f>
        <v>2800000.0000000014</v>
      </c>
      <c r="DO17" s="25">
        <f>Gov!B13</f>
        <v>233333.33333333337</v>
      </c>
      <c r="DP17" s="25">
        <f>Gov!B13</f>
        <v>233333.33333333337</v>
      </c>
      <c r="DQ17" s="25">
        <f>Gov!B13</f>
        <v>233333.33333333337</v>
      </c>
      <c r="DR17" s="25">
        <f>Gov!B13</f>
        <v>233333.33333333337</v>
      </c>
      <c r="DS17" s="25">
        <f>Gov!B13</f>
        <v>233333.33333333337</v>
      </c>
      <c r="DT17" s="25">
        <f>Gov!B13</f>
        <v>233333.33333333337</v>
      </c>
      <c r="DU17" s="25">
        <f>Gov!B13</f>
        <v>233333.33333333337</v>
      </c>
      <c r="DV17" s="25">
        <f>Gov!B13</f>
        <v>233333.33333333337</v>
      </c>
      <c r="DW17" s="25">
        <f>Gov!B13</f>
        <v>233333.33333333337</v>
      </c>
      <c r="DX17" s="25">
        <f>Gov!B13</f>
        <v>233333.33333333337</v>
      </c>
      <c r="DY17" s="25">
        <f>Gov!B13</f>
        <v>233333.33333333337</v>
      </c>
      <c r="DZ17" s="25">
        <f>Gov!B13</f>
        <v>233333.33333333337</v>
      </c>
      <c r="EA17" s="26">
        <f>SUM(DO17:DZ17)</f>
        <v>2800000.0000000014</v>
      </c>
      <c r="EB17" s="25">
        <f>Gov!B13</f>
        <v>233333.33333333337</v>
      </c>
      <c r="EC17" s="25">
        <f>Gov!B13</f>
        <v>233333.33333333337</v>
      </c>
      <c r="ED17" s="25">
        <f>Gov!B13</f>
        <v>233333.33333333337</v>
      </c>
      <c r="EE17" s="25">
        <f>Gov!B13</f>
        <v>233333.33333333337</v>
      </c>
      <c r="EF17" s="25">
        <f>Gov!B13</f>
        <v>233333.33333333337</v>
      </c>
      <c r="EG17" s="25">
        <f>Gov!B13</f>
        <v>233333.33333333337</v>
      </c>
      <c r="EH17" s="25">
        <f>Gov!B13</f>
        <v>233333.33333333337</v>
      </c>
      <c r="EI17" s="25">
        <f>Gov!B13</f>
        <v>233333.33333333337</v>
      </c>
      <c r="EJ17" s="25">
        <f>Gov!B13</f>
        <v>233333.33333333337</v>
      </c>
      <c r="EK17" s="25">
        <f>Gov!B13</f>
        <v>233333.33333333337</v>
      </c>
      <c r="EL17" s="25">
        <f>Gov!B13</f>
        <v>233333.33333333337</v>
      </c>
      <c r="EM17" s="25">
        <f>Gov!B13</f>
        <v>233333.33333333337</v>
      </c>
      <c r="EN17" s="26">
        <f>SUM(EB17:EM17)</f>
        <v>2800000.0000000014</v>
      </c>
    </row>
    <row r="18" spans="1:144" ht="12.75" customHeight="1" x14ac:dyDescent="0.2">
      <c r="A18" s="5"/>
      <c r="B18" s="24"/>
      <c r="C18" s="24"/>
      <c r="D18" s="24"/>
      <c r="E18" s="24"/>
      <c r="F18" s="24"/>
      <c r="G18" s="24"/>
      <c r="H18" s="24"/>
      <c r="I18" s="24"/>
      <c r="J18" s="24"/>
      <c r="K18" s="24"/>
      <c r="L18" s="24"/>
      <c r="M18" s="24"/>
      <c r="N18" s="5"/>
      <c r="O18" s="24"/>
      <c r="P18" s="24"/>
      <c r="Q18" s="24"/>
      <c r="R18" s="24"/>
      <c r="S18" s="24"/>
      <c r="T18" s="24"/>
      <c r="U18" s="24"/>
      <c r="V18" s="24"/>
      <c r="W18" s="24"/>
      <c r="X18" s="24"/>
      <c r="Y18" s="24"/>
      <c r="Z18" s="24"/>
      <c r="AA18" s="5"/>
      <c r="AB18" s="24"/>
      <c r="AC18" s="24"/>
      <c r="AD18" s="24"/>
      <c r="AE18" s="24"/>
      <c r="AF18" s="24"/>
      <c r="AG18" s="24"/>
      <c r="AH18" s="24"/>
      <c r="AI18" s="24"/>
      <c r="AJ18" s="24"/>
      <c r="AK18" s="24"/>
      <c r="AL18" s="24"/>
      <c r="AM18" s="24"/>
      <c r="AN18" s="5"/>
      <c r="AO18" s="24"/>
      <c r="AP18" s="24"/>
      <c r="AQ18" s="24"/>
      <c r="AR18" s="24"/>
      <c r="AS18" s="24"/>
      <c r="AT18" s="24"/>
      <c r="AU18" s="24"/>
      <c r="AV18" s="24"/>
      <c r="AW18" s="24"/>
      <c r="AX18" s="24"/>
      <c r="AY18" s="24"/>
      <c r="AZ18" s="24"/>
      <c r="BA18" s="5"/>
      <c r="BB18" s="24"/>
      <c r="BC18" s="24"/>
      <c r="BD18" s="24"/>
      <c r="BE18" s="24"/>
      <c r="BF18" s="24"/>
      <c r="BG18" s="24"/>
      <c r="BH18" s="24"/>
      <c r="BI18" s="24"/>
      <c r="BJ18" s="24"/>
      <c r="BK18" s="24"/>
      <c r="BL18" s="24"/>
      <c r="BM18" s="24"/>
      <c r="BN18" s="5"/>
      <c r="BO18" s="24"/>
      <c r="BP18" s="24"/>
      <c r="BQ18" s="24"/>
      <c r="BR18" s="24"/>
      <c r="BS18" s="24"/>
      <c r="BT18" s="24"/>
      <c r="BU18" s="24"/>
      <c r="BV18" s="24"/>
      <c r="BW18" s="24"/>
      <c r="BX18" s="24"/>
      <c r="BY18" s="24"/>
      <c r="BZ18" s="24"/>
      <c r="CA18" s="5"/>
      <c r="CB18" s="24"/>
      <c r="CC18" s="24"/>
      <c r="CD18" s="24"/>
      <c r="CE18" s="24"/>
      <c r="CF18" s="24"/>
      <c r="CG18" s="24"/>
      <c r="CH18" s="24"/>
      <c r="CI18" s="24"/>
      <c r="CJ18" s="24"/>
      <c r="CK18" s="24"/>
      <c r="CL18" s="24"/>
      <c r="CM18" s="24"/>
      <c r="CN18" s="5"/>
      <c r="CO18" s="24"/>
      <c r="CP18" s="24"/>
      <c r="CQ18" s="24"/>
      <c r="CR18" s="24"/>
      <c r="CS18" s="24"/>
      <c r="CT18" s="24"/>
      <c r="CU18" s="24"/>
      <c r="CV18" s="24"/>
      <c r="CW18" s="24"/>
      <c r="CX18" s="24"/>
      <c r="CY18" s="24"/>
      <c r="CZ18" s="24"/>
      <c r="DA18" s="5"/>
      <c r="DB18" s="24"/>
      <c r="DC18" s="24"/>
      <c r="DD18" s="24"/>
      <c r="DE18" s="24"/>
      <c r="DF18" s="24"/>
      <c r="DG18" s="24"/>
      <c r="DH18" s="24"/>
      <c r="DI18" s="24"/>
      <c r="DJ18" s="24"/>
      <c r="DK18" s="24"/>
      <c r="DL18" s="24"/>
      <c r="DM18" s="24"/>
      <c r="DN18" s="5"/>
      <c r="DO18" s="24"/>
      <c r="DP18" s="24"/>
      <c r="DQ18" s="24"/>
      <c r="DR18" s="24"/>
      <c r="DS18" s="24"/>
      <c r="DT18" s="24"/>
      <c r="DU18" s="24"/>
      <c r="DV18" s="24"/>
      <c r="DW18" s="24"/>
      <c r="DX18" s="24"/>
      <c r="DY18" s="24"/>
      <c r="DZ18" s="24"/>
      <c r="EA18" s="5"/>
      <c r="EB18" s="24"/>
      <c r="EC18" s="24"/>
      <c r="ED18" s="24"/>
      <c r="EE18" s="24"/>
      <c r="EF18" s="24"/>
      <c r="EG18" s="24"/>
      <c r="EH18" s="24"/>
      <c r="EI18" s="24"/>
      <c r="EJ18" s="24"/>
      <c r="EK18" s="24"/>
      <c r="EL18" s="24"/>
      <c r="EM18" s="24"/>
      <c r="EN18" s="5"/>
    </row>
    <row r="19" spans="1:144" ht="12.75" customHeight="1" x14ac:dyDescent="0.2">
      <c r="A19" s="9" t="str">
        <f>Labels!B30</f>
        <v>Gov Transfers</v>
      </c>
      <c r="B19" s="27">
        <f>Gov!B16</f>
        <v>116666.66666666669</v>
      </c>
      <c r="C19" s="27">
        <f>Gov!B16</f>
        <v>116666.66666666669</v>
      </c>
      <c r="D19" s="27">
        <f>Gov!B16</f>
        <v>116666.66666666669</v>
      </c>
      <c r="E19" s="27">
        <f>Gov!B16</f>
        <v>116666.66666666669</v>
      </c>
      <c r="F19" s="27">
        <f>Gov!B16</f>
        <v>116666.66666666669</v>
      </c>
      <c r="G19" s="27">
        <f>Gov!B16</f>
        <v>116666.66666666669</v>
      </c>
      <c r="H19" s="27">
        <f>Gov!B16</f>
        <v>116666.66666666669</v>
      </c>
      <c r="I19" s="27">
        <f>Gov!B16</f>
        <v>116666.66666666669</v>
      </c>
      <c r="J19" s="27">
        <f>Gov!B16</f>
        <v>116666.66666666669</v>
      </c>
      <c r="K19" s="27">
        <f>Gov!B16</f>
        <v>116666.66666666669</v>
      </c>
      <c r="L19" s="27">
        <f>Gov!B16</f>
        <v>116666.66666666669</v>
      </c>
      <c r="M19" s="27">
        <f>Gov!B16</f>
        <v>116666.66666666669</v>
      </c>
      <c r="N19" s="28">
        <f>SUM(B19:M19)</f>
        <v>1400000.0000000007</v>
      </c>
      <c r="O19" s="27">
        <f>Gov!B16</f>
        <v>116666.66666666669</v>
      </c>
      <c r="P19" s="27">
        <f>Gov!B16</f>
        <v>116666.66666666669</v>
      </c>
      <c r="Q19" s="27">
        <f>Gov!B16</f>
        <v>116666.66666666669</v>
      </c>
      <c r="R19" s="27">
        <f>Gov!B16</f>
        <v>116666.66666666669</v>
      </c>
      <c r="S19" s="27">
        <f>Gov!B16</f>
        <v>116666.66666666669</v>
      </c>
      <c r="T19" s="27">
        <f>Gov!B16</f>
        <v>116666.66666666669</v>
      </c>
      <c r="U19" s="27">
        <f>Gov!B16</f>
        <v>116666.66666666669</v>
      </c>
      <c r="V19" s="27">
        <f>Gov!B16</f>
        <v>116666.66666666669</v>
      </c>
      <c r="W19" s="27">
        <f>Gov!B16</f>
        <v>116666.66666666669</v>
      </c>
      <c r="X19" s="27">
        <f>Gov!B16</f>
        <v>116666.66666666669</v>
      </c>
      <c r="Y19" s="27">
        <f>Gov!B16</f>
        <v>116666.66666666669</v>
      </c>
      <c r="Z19" s="27">
        <f>Gov!B16</f>
        <v>116666.66666666669</v>
      </c>
      <c r="AA19" s="28">
        <f>SUM(O19:Z19)</f>
        <v>1400000.0000000007</v>
      </c>
      <c r="AB19" s="27">
        <f>Gov!B16</f>
        <v>116666.66666666669</v>
      </c>
      <c r="AC19" s="27">
        <f>Gov!B16</f>
        <v>116666.66666666669</v>
      </c>
      <c r="AD19" s="27">
        <f>Gov!B16</f>
        <v>116666.66666666669</v>
      </c>
      <c r="AE19" s="27">
        <f>Gov!B16</f>
        <v>116666.66666666669</v>
      </c>
      <c r="AF19" s="27">
        <f>Gov!B16</f>
        <v>116666.66666666669</v>
      </c>
      <c r="AG19" s="27">
        <f>Gov!B16</f>
        <v>116666.66666666669</v>
      </c>
      <c r="AH19" s="27">
        <f>Gov!B16</f>
        <v>116666.66666666669</v>
      </c>
      <c r="AI19" s="27">
        <f>Gov!B16</f>
        <v>116666.66666666669</v>
      </c>
      <c r="AJ19" s="27">
        <f>Gov!B16</f>
        <v>116666.66666666669</v>
      </c>
      <c r="AK19" s="27">
        <f>Gov!B16</f>
        <v>116666.66666666669</v>
      </c>
      <c r="AL19" s="27">
        <f>Gov!B16</f>
        <v>116666.66666666669</v>
      </c>
      <c r="AM19" s="27">
        <f>Gov!B16</f>
        <v>116666.66666666669</v>
      </c>
      <c r="AN19" s="28">
        <f>SUM(AB19:AM19)</f>
        <v>1400000.0000000007</v>
      </c>
      <c r="AO19" s="27">
        <f>Gov!B16</f>
        <v>116666.66666666669</v>
      </c>
      <c r="AP19" s="27">
        <f>Gov!B16</f>
        <v>116666.66666666669</v>
      </c>
      <c r="AQ19" s="27">
        <f>Gov!B16</f>
        <v>116666.66666666669</v>
      </c>
      <c r="AR19" s="27">
        <f>Gov!B16</f>
        <v>116666.66666666669</v>
      </c>
      <c r="AS19" s="27">
        <f>Gov!B16</f>
        <v>116666.66666666669</v>
      </c>
      <c r="AT19" s="27">
        <f>Gov!B16</f>
        <v>116666.66666666669</v>
      </c>
      <c r="AU19" s="27">
        <f>Gov!B16</f>
        <v>116666.66666666669</v>
      </c>
      <c r="AV19" s="27">
        <f>Gov!B16</f>
        <v>116666.66666666669</v>
      </c>
      <c r="AW19" s="27">
        <f>Gov!B16</f>
        <v>116666.66666666669</v>
      </c>
      <c r="AX19" s="27">
        <f>Gov!B16</f>
        <v>116666.66666666669</v>
      </c>
      <c r="AY19" s="27">
        <f>Gov!B16</f>
        <v>116666.66666666669</v>
      </c>
      <c r="AZ19" s="27">
        <f>Gov!B16</f>
        <v>116666.66666666669</v>
      </c>
      <c r="BA19" s="28">
        <f>SUM(AO19:AZ19)</f>
        <v>1400000.0000000007</v>
      </c>
      <c r="BB19" s="27">
        <f>Gov!B16</f>
        <v>116666.66666666669</v>
      </c>
      <c r="BC19" s="27">
        <f>Gov!B16</f>
        <v>116666.66666666669</v>
      </c>
      <c r="BD19" s="27">
        <f>Gov!B16</f>
        <v>116666.66666666669</v>
      </c>
      <c r="BE19" s="27">
        <f>Gov!B16</f>
        <v>116666.66666666669</v>
      </c>
      <c r="BF19" s="27">
        <f>Gov!B16</f>
        <v>116666.66666666669</v>
      </c>
      <c r="BG19" s="27">
        <f>Gov!B16</f>
        <v>116666.66666666669</v>
      </c>
      <c r="BH19" s="27">
        <f>Gov!B16</f>
        <v>116666.66666666669</v>
      </c>
      <c r="BI19" s="27">
        <f>Gov!B16</f>
        <v>116666.66666666669</v>
      </c>
      <c r="BJ19" s="27">
        <f>Gov!B16</f>
        <v>116666.66666666669</v>
      </c>
      <c r="BK19" s="27">
        <f>Gov!B16</f>
        <v>116666.66666666669</v>
      </c>
      <c r="BL19" s="27">
        <f>Gov!B16</f>
        <v>116666.66666666669</v>
      </c>
      <c r="BM19" s="27">
        <f>Gov!B16</f>
        <v>116666.66666666669</v>
      </c>
      <c r="BN19" s="28">
        <f>SUM(BB19:BM19)</f>
        <v>1400000.0000000007</v>
      </c>
      <c r="BO19" s="27">
        <f>Gov!B16</f>
        <v>116666.66666666669</v>
      </c>
      <c r="BP19" s="27">
        <f>Gov!B16</f>
        <v>116666.66666666669</v>
      </c>
      <c r="BQ19" s="27">
        <f>Gov!B16</f>
        <v>116666.66666666669</v>
      </c>
      <c r="BR19" s="27">
        <f>Gov!B16</f>
        <v>116666.66666666669</v>
      </c>
      <c r="BS19" s="27">
        <f>Gov!B16</f>
        <v>116666.66666666669</v>
      </c>
      <c r="BT19" s="27">
        <f>Gov!B16</f>
        <v>116666.66666666669</v>
      </c>
      <c r="BU19" s="27">
        <f>Gov!B16</f>
        <v>116666.66666666669</v>
      </c>
      <c r="BV19" s="27">
        <f>Gov!B16</f>
        <v>116666.66666666669</v>
      </c>
      <c r="BW19" s="27">
        <f>Gov!B16</f>
        <v>116666.66666666669</v>
      </c>
      <c r="BX19" s="27">
        <f>Gov!B16</f>
        <v>116666.66666666669</v>
      </c>
      <c r="BY19" s="27">
        <f>Gov!B16</f>
        <v>116666.66666666669</v>
      </c>
      <c r="BZ19" s="27">
        <f>Gov!B16</f>
        <v>116666.66666666669</v>
      </c>
      <c r="CA19" s="28">
        <f>SUM(BO19:BZ19)</f>
        <v>1400000.0000000007</v>
      </c>
      <c r="CB19" s="27">
        <f>Gov!B16</f>
        <v>116666.66666666669</v>
      </c>
      <c r="CC19" s="27">
        <f>Gov!B16</f>
        <v>116666.66666666669</v>
      </c>
      <c r="CD19" s="27">
        <f>Gov!B16</f>
        <v>116666.66666666669</v>
      </c>
      <c r="CE19" s="27">
        <f>Gov!B16</f>
        <v>116666.66666666669</v>
      </c>
      <c r="CF19" s="27">
        <f>Gov!B16</f>
        <v>116666.66666666669</v>
      </c>
      <c r="CG19" s="27">
        <f>Gov!B16</f>
        <v>116666.66666666669</v>
      </c>
      <c r="CH19" s="27">
        <f>Gov!B16</f>
        <v>116666.66666666669</v>
      </c>
      <c r="CI19" s="27">
        <f>Gov!B16</f>
        <v>116666.66666666669</v>
      </c>
      <c r="CJ19" s="27">
        <f>Gov!B16</f>
        <v>116666.66666666669</v>
      </c>
      <c r="CK19" s="27">
        <f>Gov!B16</f>
        <v>116666.66666666669</v>
      </c>
      <c r="CL19" s="27">
        <f>Gov!B16</f>
        <v>116666.66666666669</v>
      </c>
      <c r="CM19" s="27">
        <f>Gov!B16</f>
        <v>116666.66666666669</v>
      </c>
      <c r="CN19" s="28">
        <f>SUM(CB19:CM19)</f>
        <v>1400000.0000000007</v>
      </c>
      <c r="CO19" s="27">
        <f>Gov!B16</f>
        <v>116666.66666666669</v>
      </c>
      <c r="CP19" s="27">
        <f>Gov!B16</f>
        <v>116666.66666666669</v>
      </c>
      <c r="CQ19" s="27">
        <f>Gov!B16</f>
        <v>116666.66666666669</v>
      </c>
      <c r="CR19" s="27">
        <f>Gov!B16</f>
        <v>116666.66666666669</v>
      </c>
      <c r="CS19" s="27">
        <f>Gov!B16</f>
        <v>116666.66666666669</v>
      </c>
      <c r="CT19" s="27">
        <f>Gov!B16</f>
        <v>116666.66666666669</v>
      </c>
      <c r="CU19" s="27">
        <f>Gov!B16</f>
        <v>116666.66666666669</v>
      </c>
      <c r="CV19" s="27">
        <f>Gov!B16</f>
        <v>116666.66666666669</v>
      </c>
      <c r="CW19" s="27">
        <f>Gov!B16</f>
        <v>116666.66666666669</v>
      </c>
      <c r="CX19" s="27">
        <f>Gov!B16</f>
        <v>116666.66666666669</v>
      </c>
      <c r="CY19" s="27">
        <f>Gov!B16</f>
        <v>116666.66666666669</v>
      </c>
      <c r="CZ19" s="27">
        <f>Gov!B16</f>
        <v>116666.66666666669</v>
      </c>
      <c r="DA19" s="28">
        <f>SUM(CO19:CZ19)</f>
        <v>1400000.0000000007</v>
      </c>
      <c r="DB19" s="27">
        <f>Gov!B16</f>
        <v>116666.66666666669</v>
      </c>
      <c r="DC19" s="27">
        <f>Gov!B16</f>
        <v>116666.66666666669</v>
      </c>
      <c r="DD19" s="27">
        <f>Gov!B16</f>
        <v>116666.66666666669</v>
      </c>
      <c r="DE19" s="27">
        <f>Gov!B16</f>
        <v>116666.66666666669</v>
      </c>
      <c r="DF19" s="27">
        <f>Gov!B16</f>
        <v>116666.66666666669</v>
      </c>
      <c r="DG19" s="27">
        <f>Gov!B16</f>
        <v>116666.66666666669</v>
      </c>
      <c r="DH19" s="27">
        <f>Gov!B16</f>
        <v>116666.66666666669</v>
      </c>
      <c r="DI19" s="27">
        <f>Gov!B16</f>
        <v>116666.66666666669</v>
      </c>
      <c r="DJ19" s="27">
        <f>Gov!B16</f>
        <v>116666.66666666669</v>
      </c>
      <c r="DK19" s="27">
        <f>Gov!B16</f>
        <v>116666.66666666669</v>
      </c>
      <c r="DL19" s="27">
        <f>Gov!B16</f>
        <v>116666.66666666669</v>
      </c>
      <c r="DM19" s="27">
        <f>Gov!B16</f>
        <v>116666.66666666669</v>
      </c>
      <c r="DN19" s="28">
        <f>SUM(DB19:DM19)</f>
        <v>1400000.0000000007</v>
      </c>
      <c r="DO19" s="27">
        <f>Gov!B16</f>
        <v>116666.66666666669</v>
      </c>
      <c r="DP19" s="27">
        <f>Gov!B16</f>
        <v>116666.66666666669</v>
      </c>
      <c r="DQ19" s="27">
        <f>Gov!B16</f>
        <v>116666.66666666669</v>
      </c>
      <c r="DR19" s="27">
        <f>Gov!B16</f>
        <v>116666.66666666669</v>
      </c>
      <c r="DS19" s="27">
        <f>Gov!B16</f>
        <v>116666.66666666669</v>
      </c>
      <c r="DT19" s="27">
        <f>Gov!B16</f>
        <v>116666.66666666669</v>
      </c>
      <c r="DU19" s="27">
        <f>Gov!B16</f>
        <v>116666.66666666669</v>
      </c>
      <c r="DV19" s="27">
        <f>Gov!B16</f>
        <v>116666.66666666669</v>
      </c>
      <c r="DW19" s="27">
        <f>Gov!B16</f>
        <v>116666.66666666669</v>
      </c>
      <c r="DX19" s="27">
        <f>Gov!B16</f>
        <v>116666.66666666669</v>
      </c>
      <c r="DY19" s="27">
        <f>Gov!B16</f>
        <v>116666.66666666669</v>
      </c>
      <c r="DZ19" s="27">
        <f>Gov!B16</f>
        <v>116666.66666666669</v>
      </c>
      <c r="EA19" s="28">
        <f>SUM(DO19:DZ19)</f>
        <v>1400000.0000000007</v>
      </c>
      <c r="EB19" s="27">
        <f>Gov!B16</f>
        <v>116666.66666666669</v>
      </c>
      <c r="EC19" s="27">
        <f>Gov!B16</f>
        <v>116666.66666666669</v>
      </c>
      <c r="ED19" s="27">
        <f>Gov!B16</f>
        <v>116666.66666666669</v>
      </c>
      <c r="EE19" s="27">
        <f>Gov!B16</f>
        <v>116666.66666666669</v>
      </c>
      <c r="EF19" s="27">
        <f>Gov!B16</f>
        <v>116666.66666666669</v>
      </c>
      <c r="EG19" s="27">
        <f>Gov!B16</f>
        <v>116666.66666666669</v>
      </c>
      <c r="EH19" s="27">
        <f>Gov!B16</f>
        <v>116666.66666666669</v>
      </c>
      <c r="EI19" s="27">
        <f>Gov!B16</f>
        <v>116666.66666666669</v>
      </c>
      <c r="EJ19" s="27">
        <f>Gov!B16</f>
        <v>116666.66666666669</v>
      </c>
      <c r="EK19" s="27">
        <f>Gov!B16</f>
        <v>116666.66666666669</v>
      </c>
      <c r="EL19" s="27">
        <f>Gov!B16</f>
        <v>116666.66666666669</v>
      </c>
      <c r="EM19" s="27">
        <f>Gov!B16</f>
        <v>116666.66666666669</v>
      </c>
      <c r="EN19" s="28">
        <f>SUM(EB19:EM19)</f>
        <v>1400000.0000000007</v>
      </c>
    </row>
    <row r="21" spans="1:144" ht="12.75" customHeight="1" x14ac:dyDescent="0.2">
      <c r="A21" s="7" t="str">
        <f>Labels!B55</f>
        <v>Time Smooth Long Demand</v>
      </c>
      <c r="B21" s="29">
        <f>Inputs!B13</f>
        <v>3</v>
      </c>
    </row>
    <row r="22" spans="1:144" ht="12.75" customHeight="1" x14ac:dyDescent="0.2">
      <c r="A22" s="9" t="str">
        <f>Labels!B56</f>
        <v>Time Smooth Short Demand</v>
      </c>
      <c r="B22" s="30">
        <f>Inputs!B14</f>
        <v>0.5</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9"/>
  <sheetViews>
    <sheetView workbookViewId="0"/>
  </sheetViews>
  <sheetFormatPr defaultRowHeight="12.75" customHeight="1" x14ac:dyDescent="0.2"/>
  <cols>
    <col min="1" max="1" width="24.42578125" customWidth="1"/>
    <col min="2" max="144" width="10.570312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"Capital"</f>
        <v>Capital</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Labels!B9</f>
        <v>Capital</v>
      </c>
      <c r="B7" s="22">
        <f>Inputs!B20*Output!B13/(1/Inputs!B19/12+'(Other Computations)'!B11)</f>
        <v>34645298.421926454</v>
      </c>
      <c r="C7" s="22">
        <f t="shared" ref="C7:M7" si="0">B7+B11-B9</f>
        <v>34645298.421926454</v>
      </c>
      <c r="D7" s="22">
        <f t="shared" ca="1" si="0"/>
        <v>34645293.701624259</v>
      </c>
      <c r="E7" s="22">
        <f t="shared" ca="1" si="0"/>
        <v>34645229.509860635</v>
      </c>
      <c r="F7" s="22">
        <f t="shared" ca="1" si="0"/>
        <v>34645258.690705091</v>
      </c>
      <c r="G7" s="22">
        <f t="shared" ca="1" si="0"/>
        <v>34645395.495520256</v>
      </c>
      <c r="H7" s="22">
        <f t="shared" ca="1" si="0"/>
        <v>34645425.764000252</v>
      </c>
      <c r="I7" s="22">
        <f t="shared" ca="1" si="0"/>
        <v>34645467.531947322</v>
      </c>
      <c r="J7" s="22">
        <f t="shared" ca="1" si="0"/>
        <v>34645489.643281236</v>
      </c>
      <c r="K7" s="22">
        <f t="shared" ca="1" si="0"/>
        <v>34645527.838849798</v>
      </c>
      <c r="L7" s="22">
        <f t="shared" ca="1" si="0"/>
        <v>34645609.87347617</v>
      </c>
      <c r="M7" s="22">
        <f t="shared" ca="1" si="0"/>
        <v>34645700.018653966</v>
      </c>
      <c r="N7" s="23">
        <f ca="1">M7</f>
        <v>34645700.018653966</v>
      </c>
      <c r="O7" s="22">
        <f ca="1">M7+M11-M9</f>
        <v>34645815.784996986</v>
      </c>
      <c r="P7" s="22">
        <f t="shared" ref="P7:Z7" ca="1" si="1">O7+O11-O9</f>
        <v>34645961.169686638</v>
      </c>
      <c r="Q7" s="22">
        <f t="shared" ca="1" si="1"/>
        <v>34646069.742768154</v>
      </c>
      <c r="R7" s="22">
        <f t="shared" ca="1" si="1"/>
        <v>34646269.177056856</v>
      </c>
      <c r="S7" s="22">
        <f t="shared" ca="1" si="1"/>
        <v>34646389.689281203</v>
      </c>
      <c r="T7" s="22">
        <f t="shared" ca="1" si="1"/>
        <v>34646568.022998892</v>
      </c>
      <c r="U7" s="22">
        <f t="shared" ca="1" si="1"/>
        <v>34646839.427663818</v>
      </c>
      <c r="V7" s="22">
        <f t="shared" ca="1" si="1"/>
        <v>34647216.925071411</v>
      </c>
      <c r="W7" s="22">
        <f t="shared" ca="1" si="1"/>
        <v>34647467.68063888</v>
      </c>
      <c r="X7" s="22">
        <f t="shared" ca="1" si="1"/>
        <v>34647722.387135409</v>
      </c>
      <c r="Y7" s="22">
        <f t="shared" ca="1" si="1"/>
        <v>34648049.952825785</v>
      </c>
      <c r="Z7" s="22">
        <f t="shared" ca="1" si="1"/>
        <v>34648266.352964178</v>
      </c>
      <c r="AA7" s="23">
        <f ca="1">Z7</f>
        <v>34648266.352964178</v>
      </c>
      <c r="AB7" s="22">
        <f ca="1">Z7+Z11-Z9</f>
        <v>34648512.815610737</v>
      </c>
      <c r="AC7" s="22">
        <f t="shared" ref="AC7:AM7" ca="1" si="2">AB7+AB11-AB9</f>
        <v>34648751.580473028</v>
      </c>
      <c r="AD7" s="22">
        <f t="shared" ca="1" si="2"/>
        <v>34649041.887453318</v>
      </c>
      <c r="AE7" s="22">
        <f t="shared" ca="1" si="2"/>
        <v>34649396.327247262</v>
      </c>
      <c r="AF7" s="22">
        <f t="shared" ca="1" si="2"/>
        <v>34649776.696605906</v>
      </c>
      <c r="AG7" s="22">
        <f t="shared" ca="1" si="2"/>
        <v>34650227.772431575</v>
      </c>
      <c r="AH7" s="22">
        <f t="shared" ca="1" si="2"/>
        <v>34650747.493317969</v>
      </c>
      <c r="AI7" s="22">
        <f t="shared" ca="1" si="2"/>
        <v>34651242.679841906</v>
      </c>
      <c r="AJ7" s="22">
        <f t="shared" ca="1" si="2"/>
        <v>34651691.23348736</v>
      </c>
      <c r="AK7" s="22">
        <f t="shared" ca="1" si="2"/>
        <v>34652090.582653619</v>
      </c>
      <c r="AL7" s="22">
        <f t="shared" ca="1" si="2"/>
        <v>34652544.684594698</v>
      </c>
      <c r="AM7" s="22">
        <f t="shared" ca="1" si="2"/>
        <v>34652921.276904963</v>
      </c>
      <c r="AN7" s="23">
        <f ca="1">AM7</f>
        <v>34652921.276904963</v>
      </c>
      <c r="AO7" s="22">
        <f ca="1">AM7+AM11-AM9</f>
        <v>34653290.32483463</v>
      </c>
      <c r="AP7" s="22">
        <f t="shared" ref="AP7:AZ7" ca="1" si="3">AO7+AO11-AO9</f>
        <v>34653624.213527068</v>
      </c>
      <c r="AQ7" s="22">
        <f t="shared" ca="1" si="3"/>
        <v>34653939.40059039</v>
      </c>
      <c r="AR7" s="22">
        <f t="shared" ca="1" si="3"/>
        <v>34654248.880236775</v>
      </c>
      <c r="AS7" s="22">
        <f t="shared" ca="1" si="3"/>
        <v>34654477.673284039</v>
      </c>
      <c r="AT7" s="22">
        <f t="shared" ca="1" si="3"/>
        <v>34654726.782378241</v>
      </c>
      <c r="AU7" s="22">
        <f t="shared" ca="1" si="3"/>
        <v>34654952.427712053</v>
      </c>
      <c r="AV7" s="22">
        <f t="shared" ca="1" si="3"/>
        <v>34655205.893036924</v>
      </c>
      <c r="AW7" s="22">
        <f t="shared" ca="1" si="3"/>
        <v>34655495.517476723</v>
      </c>
      <c r="AX7" s="22">
        <f t="shared" ca="1" si="3"/>
        <v>34655792.164025821</v>
      </c>
      <c r="AY7" s="22">
        <f t="shared" ca="1" si="3"/>
        <v>34656180.038112029</v>
      </c>
      <c r="AZ7" s="22">
        <f t="shared" ca="1" si="3"/>
        <v>34656500.707006581</v>
      </c>
      <c r="BA7" s="23">
        <f ca="1">AZ7</f>
        <v>34656500.707006581</v>
      </c>
      <c r="BB7" s="22">
        <f ca="1">AZ7+AZ11-AZ9</f>
        <v>34656744.942785993</v>
      </c>
      <c r="BC7" s="22">
        <f t="shared" ref="BC7:BM7" ca="1" si="4">BB7+BB11-BB9</f>
        <v>34657075.67922993</v>
      </c>
      <c r="BD7" s="22">
        <f t="shared" ca="1" si="4"/>
        <v>34657498.042107671</v>
      </c>
      <c r="BE7" s="22">
        <f t="shared" ca="1" si="4"/>
        <v>34657855.614062406</v>
      </c>
      <c r="BF7" s="22">
        <f t="shared" ca="1" si="4"/>
        <v>34658151.631313786</v>
      </c>
      <c r="BG7" s="22">
        <f t="shared" ca="1" si="4"/>
        <v>34658463.301996998</v>
      </c>
      <c r="BH7" s="22">
        <f t="shared" ca="1" si="4"/>
        <v>34658691.716011606</v>
      </c>
      <c r="BI7" s="22">
        <f t="shared" ca="1" si="4"/>
        <v>34658874.036753975</v>
      </c>
      <c r="BJ7" s="22">
        <f t="shared" ca="1" si="4"/>
        <v>34659045.752096131</v>
      </c>
      <c r="BK7" s="22">
        <f t="shared" ca="1" si="4"/>
        <v>34659176.493124492</v>
      </c>
      <c r="BL7" s="22">
        <f t="shared" ca="1" si="4"/>
        <v>34659397.839792244</v>
      </c>
      <c r="BM7" s="22">
        <f t="shared" ca="1" si="4"/>
        <v>34659558.393923983</v>
      </c>
      <c r="BN7" s="23">
        <f ca="1">BM7</f>
        <v>34659558.393923983</v>
      </c>
      <c r="BO7" s="22">
        <f ca="1">BM7+BM11-BM9</f>
        <v>34659803.458338298</v>
      </c>
      <c r="BP7" s="22">
        <f t="shared" ref="BP7:BZ7" ca="1" si="5">BO7+BO11-BO9</f>
        <v>34659947.980986357</v>
      </c>
      <c r="BQ7" s="22">
        <f t="shared" ca="1" si="5"/>
        <v>34660153.111605167</v>
      </c>
      <c r="BR7" s="22">
        <f t="shared" ca="1" si="5"/>
        <v>34660447.508290231</v>
      </c>
      <c r="BS7" s="22">
        <f t="shared" ca="1" si="5"/>
        <v>34660721.443689652</v>
      </c>
      <c r="BT7" s="22">
        <f t="shared" ca="1" si="5"/>
        <v>34660933.167857297</v>
      </c>
      <c r="BU7" s="22">
        <f t="shared" ca="1" si="5"/>
        <v>34661256.548232697</v>
      </c>
      <c r="BV7" s="22">
        <f t="shared" ca="1" si="5"/>
        <v>34661514.411241755</v>
      </c>
      <c r="BW7" s="22">
        <f t="shared" ca="1" si="5"/>
        <v>34661835.293422304</v>
      </c>
      <c r="BX7" s="22">
        <f t="shared" ca="1" si="5"/>
        <v>34662186.658959366</v>
      </c>
      <c r="BY7" s="22">
        <f t="shared" ca="1" si="5"/>
        <v>34662615.143497102</v>
      </c>
      <c r="BZ7" s="22">
        <f t="shared" ca="1" si="5"/>
        <v>34663015.522486776</v>
      </c>
      <c r="CA7" s="23">
        <f ca="1">BZ7</f>
        <v>34663015.522486776</v>
      </c>
      <c r="CB7" s="22">
        <f ca="1">BZ7+BZ11-BZ9</f>
        <v>34663331.083208956</v>
      </c>
      <c r="CC7" s="22">
        <f t="shared" ref="CC7:CM7" ca="1" si="6">CB7+CB11-CB9</f>
        <v>34663651.777288787</v>
      </c>
      <c r="CD7" s="22">
        <f t="shared" ca="1" si="6"/>
        <v>34663937.388194777</v>
      </c>
      <c r="CE7" s="22">
        <f t="shared" ca="1" si="6"/>
        <v>34664185.545921177</v>
      </c>
      <c r="CF7" s="22">
        <f t="shared" ca="1" si="6"/>
        <v>34664400.525405288</v>
      </c>
      <c r="CG7" s="22">
        <f t="shared" ca="1" si="6"/>
        <v>34664595.497148387</v>
      </c>
      <c r="CH7" s="22">
        <f t="shared" ca="1" si="6"/>
        <v>34664835.085886598</v>
      </c>
      <c r="CI7" s="22">
        <f t="shared" ca="1" si="6"/>
        <v>34665031.643606275</v>
      </c>
      <c r="CJ7" s="22">
        <f t="shared" ca="1" si="6"/>
        <v>34665165.877373822</v>
      </c>
      <c r="CK7" s="22">
        <f t="shared" ca="1" si="6"/>
        <v>34665234.426361367</v>
      </c>
      <c r="CL7" s="22">
        <f t="shared" ca="1" si="6"/>
        <v>34665295.299175441</v>
      </c>
      <c r="CM7" s="22">
        <f t="shared" ca="1" si="6"/>
        <v>34665287.216367267</v>
      </c>
      <c r="CN7" s="23">
        <f ca="1">CM7</f>
        <v>34665287.216367267</v>
      </c>
      <c r="CO7" s="22">
        <f ca="1">CM7+CM11-CM9</f>
        <v>34665333.360004216</v>
      </c>
      <c r="CP7" s="22">
        <f t="shared" ref="CP7:CZ7" ca="1" si="7">CO7+CO11-CO9</f>
        <v>34665407.018882424</v>
      </c>
      <c r="CQ7" s="22">
        <f t="shared" ca="1" si="7"/>
        <v>34665398.109254144</v>
      </c>
      <c r="CR7" s="22">
        <f t="shared" ca="1" si="7"/>
        <v>34665299.791365385</v>
      </c>
      <c r="CS7" s="22">
        <f t="shared" ca="1" si="7"/>
        <v>34665152.522606701</v>
      </c>
      <c r="CT7" s="22">
        <f t="shared" ca="1" si="7"/>
        <v>34664980.53643769</v>
      </c>
      <c r="CU7" s="22">
        <f t="shared" ca="1" si="7"/>
        <v>34664776.687670015</v>
      </c>
      <c r="CV7" s="22">
        <f t="shared" ca="1" si="7"/>
        <v>34664573.650830537</v>
      </c>
      <c r="CW7" s="22">
        <f t="shared" ca="1" si="7"/>
        <v>34664431.658820845</v>
      </c>
      <c r="CX7" s="22">
        <f t="shared" ca="1" si="7"/>
        <v>34664326.388527304</v>
      </c>
      <c r="CY7" s="22">
        <f t="shared" ca="1" si="7"/>
        <v>34664266.110918202</v>
      </c>
      <c r="CZ7" s="22">
        <f t="shared" ca="1" si="7"/>
        <v>34664177.292631015</v>
      </c>
      <c r="DA7" s="23">
        <f ca="1">CZ7</f>
        <v>34664177.292631015</v>
      </c>
      <c r="DB7" s="22">
        <f ca="1">CZ7+CZ11-CZ9</f>
        <v>34664092.591093026</v>
      </c>
      <c r="DC7" s="22">
        <f t="shared" ref="DC7:DM7" ca="1" si="8">DB7+DB11-DB9</f>
        <v>34664077.864874974</v>
      </c>
      <c r="DD7" s="22">
        <f t="shared" ca="1" si="8"/>
        <v>34664091.070667788</v>
      </c>
      <c r="DE7" s="22">
        <f t="shared" ca="1" si="8"/>
        <v>34664128.391042218</v>
      </c>
      <c r="DF7" s="22">
        <f t="shared" ca="1" si="8"/>
        <v>34664069.272187561</v>
      </c>
      <c r="DG7" s="22">
        <f t="shared" ca="1" si="8"/>
        <v>34663926.251358271</v>
      </c>
      <c r="DH7" s="22">
        <f t="shared" ca="1" si="8"/>
        <v>34663761.320453927</v>
      </c>
      <c r="DI7" s="22">
        <f t="shared" ca="1" si="8"/>
        <v>34663618.815460049</v>
      </c>
      <c r="DJ7" s="22">
        <f t="shared" ca="1" si="8"/>
        <v>34663420.239005342</v>
      </c>
      <c r="DK7" s="22">
        <f t="shared" ca="1" si="8"/>
        <v>34663169.805135839</v>
      </c>
      <c r="DL7" s="22">
        <f t="shared" ca="1" si="8"/>
        <v>34662942.991937824</v>
      </c>
      <c r="DM7" s="22">
        <f t="shared" ca="1" si="8"/>
        <v>34662733.707580857</v>
      </c>
      <c r="DN7" s="23">
        <f ca="1">DM7</f>
        <v>34662733.707580857</v>
      </c>
      <c r="DO7" s="22">
        <f ca="1">DM7+DM11-DM9</f>
        <v>34662577.587592155</v>
      </c>
      <c r="DP7" s="22">
        <f t="shared" ref="DP7:DZ7" ca="1" si="9">DO7+DO11-DO9</f>
        <v>34662309.600135498</v>
      </c>
      <c r="DQ7" s="22">
        <f t="shared" ca="1" si="9"/>
        <v>34662077.580175899</v>
      </c>
      <c r="DR7" s="22">
        <f t="shared" ca="1" si="9"/>
        <v>34661813.351412065</v>
      </c>
      <c r="DS7" s="22">
        <f t="shared" ca="1" si="9"/>
        <v>34661489.411286965</v>
      </c>
      <c r="DT7" s="22">
        <f t="shared" ca="1" si="9"/>
        <v>34661224.730862193</v>
      </c>
      <c r="DU7" s="22">
        <f t="shared" ca="1" si="9"/>
        <v>34660961.451424859</v>
      </c>
      <c r="DV7" s="22">
        <f t="shared" ca="1" si="9"/>
        <v>34660626.676350117</v>
      </c>
      <c r="DW7" s="22">
        <f t="shared" ca="1" si="9"/>
        <v>34660381.748457849</v>
      </c>
      <c r="DX7" s="22">
        <f t="shared" ca="1" si="9"/>
        <v>34660176.974889457</v>
      </c>
      <c r="DY7" s="22">
        <f t="shared" ca="1" si="9"/>
        <v>34659894.265474156</v>
      </c>
      <c r="DZ7" s="22">
        <f t="shared" ca="1" si="9"/>
        <v>34659645.930614099</v>
      </c>
      <c r="EA7" s="23">
        <f ca="1">DZ7</f>
        <v>34659645.930614099</v>
      </c>
      <c r="EB7" s="22">
        <f ca="1">DZ7+DZ11-DZ9</f>
        <v>34659415.145576283</v>
      </c>
      <c r="EC7" s="22">
        <f t="shared" ref="EC7:EM7" ca="1" si="10">EB7+EB11-EB9</f>
        <v>34659257.454469398</v>
      </c>
      <c r="ED7" s="22">
        <f t="shared" ca="1" si="10"/>
        <v>34659016.807408959</v>
      </c>
      <c r="EE7" s="22">
        <f t="shared" ca="1" si="10"/>
        <v>34658703.524491355</v>
      </c>
      <c r="EF7" s="22">
        <f t="shared" ca="1" si="10"/>
        <v>34658423.265345529</v>
      </c>
      <c r="EG7" s="22">
        <f t="shared" ca="1" si="10"/>
        <v>34658078.301813357</v>
      </c>
      <c r="EH7" s="22">
        <f t="shared" ca="1" si="10"/>
        <v>34657825.65317893</v>
      </c>
      <c r="EI7" s="22">
        <f t="shared" ca="1" si="10"/>
        <v>34657549.722330078</v>
      </c>
      <c r="EJ7" s="22">
        <f t="shared" ca="1" si="10"/>
        <v>34657173.119244948</v>
      </c>
      <c r="EK7" s="22">
        <f t="shared" ca="1" si="10"/>
        <v>34656828.142371841</v>
      </c>
      <c r="EL7" s="22">
        <f t="shared" ca="1" si="10"/>
        <v>34656387.635013528</v>
      </c>
      <c r="EM7" s="22">
        <f t="shared" ca="1" si="10"/>
        <v>34656025.65959876</v>
      </c>
      <c r="EN7" s="23">
        <f ca="1">EM7</f>
        <v>34656025.65959876</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11" t="str">
        <f>Labels!B11</f>
        <v>Capital Depreciation</v>
      </c>
      <c r="B9" s="25">
        <f>B13/Inputs!B19/12</f>
        <v>206222.01441622889</v>
      </c>
      <c r="C9" s="25">
        <f>B7/Inputs!B19/12</f>
        <v>206222.01441622889</v>
      </c>
      <c r="D9" s="25">
        <f>C7/Inputs!B19/12</f>
        <v>206222.01441622889</v>
      </c>
      <c r="E9" s="25">
        <f ca="1">D7/Inputs!B19/12</f>
        <v>206221.98631919202</v>
      </c>
      <c r="F9" s="25">
        <f ca="1">E7/Inputs!B19/12</f>
        <v>206221.6042253609</v>
      </c>
      <c r="G9" s="25">
        <f ca="1">F7/Inputs!B19/12</f>
        <v>206221.77792086362</v>
      </c>
      <c r="H9" s="25">
        <f ca="1">G7/Inputs!B19/12</f>
        <v>206222.5922352396</v>
      </c>
      <c r="I9" s="25">
        <f ca="1">H7/Inputs!B19/12</f>
        <v>206222.77240476341</v>
      </c>
      <c r="J9" s="25">
        <f ca="1">I7/Inputs!B19/12</f>
        <v>206223.02102349597</v>
      </c>
      <c r="K9" s="25">
        <f ca="1">J7/Inputs!B19/12</f>
        <v>206223.15263857879</v>
      </c>
      <c r="L9" s="25">
        <f ca="1">K7/Inputs!B19/12</f>
        <v>206223.37999315353</v>
      </c>
      <c r="M9" s="25">
        <f ca="1">L7/Inputs!B19/12</f>
        <v>206223.86829450101</v>
      </c>
      <c r="N9" s="26">
        <f ca="1">SUM(B9:M9)</f>
        <v>2474670.1983038359</v>
      </c>
      <c r="O9" s="25">
        <f ca="1">M7/Inputs!B19/12</f>
        <v>206224.40487294027</v>
      </c>
      <c r="P9" s="25">
        <f ca="1">O7/Inputs!B19/12</f>
        <v>206225.09395831541</v>
      </c>
      <c r="Q9" s="25">
        <f ca="1">P7/Inputs!B19/12</f>
        <v>206225.95934337284</v>
      </c>
      <c r="R9" s="25">
        <f ca="1">Q7/Inputs!B19/12</f>
        <v>206226.6056117152</v>
      </c>
      <c r="S9" s="25">
        <f ca="1">R7/Inputs!B19/12</f>
        <v>206227.79272057652</v>
      </c>
      <c r="T9" s="25">
        <f ca="1">S7/Inputs!B19/12</f>
        <v>206228.51005524525</v>
      </c>
      <c r="U9" s="25">
        <f ca="1">T7/Inputs!B19/12</f>
        <v>206229.57156546961</v>
      </c>
      <c r="V9" s="25">
        <f ca="1">U7/Inputs!B19/12</f>
        <v>206231.18706942748</v>
      </c>
      <c r="W9" s="25">
        <f ca="1">V7/Inputs!B19/12</f>
        <v>206233.43407780604</v>
      </c>
      <c r="X9" s="25">
        <f ca="1">W7/Inputs!B19/12</f>
        <v>206234.92667046955</v>
      </c>
      <c r="Y9" s="25">
        <f ca="1">X7/Inputs!B19/12</f>
        <v>206236.44278056792</v>
      </c>
      <c r="Z9" s="25">
        <f ca="1">Y7/Inputs!B19/12</f>
        <v>206238.39257634396</v>
      </c>
      <c r="AA9" s="26">
        <f ca="1">SUM(O9:Z9)</f>
        <v>2474762.32130225</v>
      </c>
      <c r="AB9" s="25">
        <f ca="1">Z7/Inputs!B19/12</f>
        <v>206239.68067240584</v>
      </c>
      <c r="AC9" s="25">
        <f ca="1">AB7/Inputs!B19/12</f>
        <v>206241.14771196866</v>
      </c>
      <c r="AD9" s="25">
        <f ca="1">AC7/Inputs!B19/12</f>
        <v>206242.56893138707</v>
      </c>
      <c r="AE9" s="25">
        <f ca="1">AD7/Inputs!B19/12</f>
        <v>206244.29694912687</v>
      </c>
      <c r="AF9" s="25">
        <f ca="1">AE7/Inputs!B19/12</f>
        <v>206246.40670980513</v>
      </c>
      <c r="AG9" s="25">
        <f ca="1">AF7/Inputs!B19/12</f>
        <v>206248.67081313042</v>
      </c>
      <c r="AH9" s="25">
        <f ca="1">AG7/Inputs!B19/12</f>
        <v>206251.35578828317</v>
      </c>
      <c r="AI9" s="25">
        <f ca="1">AH7/Inputs!B19/12</f>
        <v>206254.4493649879</v>
      </c>
      <c r="AJ9" s="25">
        <f ca="1">AI7/Inputs!B19/12</f>
        <v>206257.39690382089</v>
      </c>
      <c r="AK9" s="25">
        <f ca="1">AJ7/Inputs!B19/12</f>
        <v>206260.0668659962</v>
      </c>
      <c r="AL9" s="25">
        <f ca="1">AK7/Inputs!B19/12</f>
        <v>206262.44394436677</v>
      </c>
      <c r="AM9" s="25">
        <f ca="1">AL7/Inputs!B19/12</f>
        <v>206265.14693211133</v>
      </c>
      <c r="AN9" s="26">
        <f ca="1">SUM(AB9:AM9)</f>
        <v>2475013.6315873899</v>
      </c>
      <c r="AO9" s="25">
        <f ca="1">AM7/Inputs!B19/12</f>
        <v>206267.38855300573</v>
      </c>
      <c r="AP9" s="25">
        <f ca="1">AO7/Inputs!B19/12</f>
        <v>206269.5852668728</v>
      </c>
      <c r="AQ9" s="25">
        <f ca="1">AP7/Inputs!B19/12</f>
        <v>206271.57269956588</v>
      </c>
      <c r="AR9" s="25">
        <f ca="1">AQ7/Inputs!B19/12</f>
        <v>206273.44881303803</v>
      </c>
      <c r="AS9" s="25">
        <f ca="1">AR7/Inputs!B19/12</f>
        <v>206275.29095379033</v>
      </c>
      <c r="AT9" s="25">
        <f ca="1">AS7/Inputs!B19/12</f>
        <v>206276.65281716691</v>
      </c>
      <c r="AU9" s="25">
        <f ca="1">AT7/Inputs!B19/12</f>
        <v>206278.13560939429</v>
      </c>
      <c r="AV9" s="25">
        <f ca="1">AU7/Inputs!B19/12</f>
        <v>206279.47873638128</v>
      </c>
      <c r="AW9" s="25">
        <f ca="1">AV7/Inputs!B19/12</f>
        <v>206280.98745855314</v>
      </c>
      <c r="AX9" s="25">
        <f ca="1">AW7/Inputs!B19/12</f>
        <v>206282.71141355194</v>
      </c>
      <c r="AY9" s="25">
        <f ca="1">AX7/Inputs!B19/12</f>
        <v>206284.47716682035</v>
      </c>
      <c r="AZ9" s="25">
        <f ca="1">AY7/Inputs!B19/12</f>
        <v>206286.78594114303</v>
      </c>
      <c r="BA9" s="26">
        <f ca="1">SUM(AO9:AZ9)</f>
        <v>2475326.5154292835</v>
      </c>
      <c r="BB9" s="25">
        <f ca="1">AZ7/Inputs!B19/12</f>
        <v>206288.69468456297</v>
      </c>
      <c r="BC9" s="25">
        <f ca="1">BB7/Inputs!B19/12</f>
        <v>206290.14846896424</v>
      </c>
      <c r="BD9" s="25">
        <f ca="1">BC7/Inputs!B19/12</f>
        <v>206292.1171382734</v>
      </c>
      <c r="BE9" s="25">
        <f ca="1">BD7/Inputs!B19/12</f>
        <v>206294.63120302185</v>
      </c>
      <c r="BF9" s="25">
        <f ca="1">BE7/Inputs!B19/12</f>
        <v>206296.75960751434</v>
      </c>
      <c r="BG9" s="25">
        <f ca="1">BF7/Inputs!B19/12</f>
        <v>206298.52161496299</v>
      </c>
      <c r="BH9" s="25">
        <f ca="1">BG7/Inputs!B19/12</f>
        <v>206300.3767976012</v>
      </c>
      <c r="BI9" s="25">
        <f ca="1">BH7/Inputs!B19/12</f>
        <v>206301.73640483097</v>
      </c>
      <c r="BJ9" s="25">
        <f ca="1">BI7/Inputs!B19/12</f>
        <v>206302.82164734509</v>
      </c>
      <c r="BK9" s="25">
        <f ca="1">BJ7/Inputs!B19/12</f>
        <v>206303.84376247696</v>
      </c>
      <c r="BL9" s="25">
        <f ca="1">BK7/Inputs!B19/12</f>
        <v>206304.62198288389</v>
      </c>
      <c r="BM9" s="25">
        <f ca="1">BL7/Inputs!B19/12</f>
        <v>206305.93952257288</v>
      </c>
      <c r="BN9" s="26">
        <f ca="1">SUM(BB9:BM9)</f>
        <v>2475580.2128350111</v>
      </c>
      <c r="BO9" s="25">
        <f ca="1">BM7/Inputs!B19/12</f>
        <v>206306.89520192848</v>
      </c>
      <c r="BP9" s="25">
        <f ca="1">BO7/Inputs!B19/12</f>
        <v>206308.35391868034</v>
      </c>
      <c r="BQ9" s="25">
        <f ca="1">BP7/Inputs!B19/12</f>
        <v>206309.21417253782</v>
      </c>
      <c r="BR9" s="25">
        <f ca="1">BQ7/Inputs!B19/12</f>
        <v>206310.43518812602</v>
      </c>
      <c r="BS9" s="25">
        <f ca="1">BR7/Inputs!B19/12</f>
        <v>206312.18754934662</v>
      </c>
      <c r="BT9" s="25">
        <f ca="1">BS7/Inputs!B19/12</f>
        <v>206313.81811720031</v>
      </c>
      <c r="BU9" s="25">
        <f ca="1">BT7/Inputs!B19/12</f>
        <v>206315.07838010296</v>
      </c>
      <c r="BV9" s="25">
        <f ca="1">BU7/Inputs!B19/12</f>
        <v>206317.00326328984</v>
      </c>
      <c r="BW9" s="25">
        <f ca="1">BV7/Inputs!B19/12</f>
        <v>206318.5381621533</v>
      </c>
      <c r="BX9" s="25">
        <f ca="1">BW7/Inputs!B19/12</f>
        <v>206320.44817513277</v>
      </c>
      <c r="BY9" s="25">
        <f ca="1">BX7/Inputs!B19/12</f>
        <v>206322.5396366629</v>
      </c>
      <c r="BZ9" s="25">
        <f ca="1">BY7/Inputs!B19/12</f>
        <v>206325.09013986369</v>
      </c>
      <c r="CA9" s="26">
        <f ca="1">SUM(BO9:BZ9)</f>
        <v>2475779.6019050246</v>
      </c>
      <c r="CB9" s="25">
        <f ca="1">BZ7/Inputs!B19/12</f>
        <v>206327.47334813557</v>
      </c>
      <c r="CC9" s="25">
        <f ca="1">CB7/Inputs!B19/12</f>
        <v>206329.35168576761</v>
      </c>
      <c r="CD9" s="25">
        <f ca="1">CC7/Inputs!B19/12</f>
        <v>206331.26057909991</v>
      </c>
      <c r="CE9" s="25">
        <f ca="1">CD7/Inputs!B19/12</f>
        <v>206332.96064401654</v>
      </c>
      <c r="CF9" s="25">
        <f ca="1">CE7/Inputs!B19/12</f>
        <v>206334.43777334035</v>
      </c>
      <c r="CG9" s="25">
        <f ca="1">CF7/Inputs!B19/12</f>
        <v>206335.71741312672</v>
      </c>
      <c r="CH9" s="25">
        <f ca="1">CG7/Inputs!B19/12</f>
        <v>206336.8779592166</v>
      </c>
      <c r="CI9" s="25">
        <f ca="1">CH7/Inputs!B19/12</f>
        <v>206338.30408265835</v>
      </c>
      <c r="CJ9" s="25">
        <f ca="1">CI7/Inputs!B19/12</f>
        <v>206339.47406908497</v>
      </c>
      <c r="CK9" s="25">
        <f ca="1">CJ7/Inputs!B19/12</f>
        <v>206340.27307960609</v>
      </c>
      <c r="CL9" s="25">
        <f ca="1">CK7/Inputs!B19/12</f>
        <v>206340.68110929386</v>
      </c>
      <c r="CM9" s="25">
        <f ca="1">CL7/Inputs!B19/12</f>
        <v>206341.04344747285</v>
      </c>
      <c r="CN9" s="26">
        <f ca="1">SUM(CB9:CM9)</f>
        <v>2476027.8551908191</v>
      </c>
      <c r="CO9" s="25">
        <f ca="1">CM7/Inputs!B19/12</f>
        <v>206340.99533551943</v>
      </c>
      <c r="CP9" s="25">
        <f ca="1">CO7/Inputs!B19/12</f>
        <v>206341.27000002508</v>
      </c>
      <c r="CQ9" s="25">
        <f ca="1">CP7/Inputs!B19/12</f>
        <v>206341.70844572873</v>
      </c>
      <c r="CR9" s="25">
        <f ca="1">CQ7/Inputs!B19/12</f>
        <v>206341.65541222703</v>
      </c>
      <c r="CS9" s="25">
        <f ca="1">CR7/Inputs!B19/12</f>
        <v>206341.07018669872</v>
      </c>
      <c r="CT9" s="25">
        <f ca="1">CS7/Inputs!B19/12</f>
        <v>206340.19358694463</v>
      </c>
      <c r="CU9" s="25">
        <f ca="1">CT7/Inputs!B19/12</f>
        <v>206339.16985974813</v>
      </c>
      <c r="CV9" s="25">
        <f ca="1">CU7/Inputs!B19/12</f>
        <v>206337.95647422629</v>
      </c>
      <c r="CW9" s="25">
        <f ca="1">CV7/Inputs!B19/12</f>
        <v>206336.74792161034</v>
      </c>
      <c r="CX9" s="25">
        <f ca="1">CW7/Inputs!B19/12</f>
        <v>206335.90273107646</v>
      </c>
      <c r="CY9" s="25">
        <f ca="1">CX7/Inputs!B19/12</f>
        <v>206335.27612218633</v>
      </c>
      <c r="CZ9" s="25">
        <f ca="1">CY7/Inputs!B19/12</f>
        <v>206334.91732689404</v>
      </c>
      <c r="DA9" s="26">
        <f ca="1">SUM(CO9:CZ9)</f>
        <v>2476066.8634028849</v>
      </c>
      <c r="DB9" s="25">
        <f ca="1">CZ7/Inputs!B19/12</f>
        <v>206334.3886466132</v>
      </c>
      <c r="DC9" s="25">
        <f ca="1">DB7/Inputs!B19/12</f>
        <v>206333.88447079182</v>
      </c>
      <c r="DD9" s="25">
        <f ca="1">DC7/Inputs!B19/12</f>
        <v>206333.79681473199</v>
      </c>
      <c r="DE9" s="25">
        <f ca="1">DD7/Inputs!B19/12</f>
        <v>206333.87542064159</v>
      </c>
      <c r="DF9" s="25">
        <f ca="1">DE7/Inputs!B19/12</f>
        <v>206334.09756572751</v>
      </c>
      <c r="DG9" s="25">
        <f ca="1">DF7/Inputs!B19/12</f>
        <v>206333.74566778311</v>
      </c>
      <c r="DH9" s="25">
        <f ca="1">DG7/Inputs!B19/12</f>
        <v>206332.89435332303</v>
      </c>
      <c r="DI9" s="25">
        <f ca="1">DH7/Inputs!B19/12</f>
        <v>206331.91262174957</v>
      </c>
      <c r="DJ9" s="25">
        <f ca="1">DI7/Inputs!B19/12</f>
        <v>206331.0643777384</v>
      </c>
      <c r="DK9" s="25">
        <f ca="1">DJ7/Inputs!B19/12</f>
        <v>206329.8823750318</v>
      </c>
      <c r="DL9" s="25">
        <f ca="1">DK7/Inputs!B19/12</f>
        <v>206328.39169723715</v>
      </c>
      <c r="DM9" s="25">
        <f ca="1">DL7/Inputs!B19/12</f>
        <v>206327.04161867753</v>
      </c>
      <c r="DN9" s="26">
        <f ca="1">SUM(DB9:DM9)</f>
        <v>2475984.9756300463</v>
      </c>
      <c r="DO9" s="25">
        <f ca="1">DM7/Inputs!B19/12</f>
        <v>206325.79587845749</v>
      </c>
      <c r="DP9" s="25">
        <f ca="1">DO7/Inputs!B19/12</f>
        <v>206324.86659281046</v>
      </c>
      <c r="DQ9" s="25">
        <f ca="1">DP7/Inputs!B19/12</f>
        <v>206323.27142937796</v>
      </c>
      <c r="DR9" s="25">
        <f ca="1">DQ7/Inputs!B19/12</f>
        <v>206321.89035818985</v>
      </c>
      <c r="DS9" s="25">
        <f ca="1">DR7/Inputs!B19/12</f>
        <v>206320.31756792896</v>
      </c>
      <c r="DT9" s="25">
        <f ca="1">DS7/Inputs!B19/12</f>
        <v>206318.38935289861</v>
      </c>
      <c r="DU9" s="25">
        <f ca="1">DT7/Inputs!B19/12</f>
        <v>206316.81387417973</v>
      </c>
      <c r="DV9" s="25">
        <f ca="1">DU7/Inputs!B19/12</f>
        <v>206315.24673467179</v>
      </c>
      <c r="DW9" s="25">
        <f ca="1">DV7/Inputs!B19/12</f>
        <v>206313.25402589355</v>
      </c>
      <c r="DX9" s="25">
        <f ca="1">DW7/Inputs!B19/12</f>
        <v>206311.79612177293</v>
      </c>
      <c r="DY9" s="25">
        <f ca="1">DX7/Inputs!B19/12</f>
        <v>206310.57723148484</v>
      </c>
      <c r="DZ9" s="25">
        <f ca="1">DY7/Inputs!B19/12</f>
        <v>206308.89443734617</v>
      </c>
      <c r="EA9" s="26">
        <f ca="1">SUM(DO9:DZ9)</f>
        <v>2475811.1136050122</v>
      </c>
      <c r="EB9" s="25">
        <f ca="1">DZ7/Inputs!B19/12</f>
        <v>206307.41625365533</v>
      </c>
      <c r="EC9" s="25">
        <f ca="1">EB7/Inputs!B19/12</f>
        <v>206306.04253319217</v>
      </c>
      <c r="ED9" s="25">
        <f ca="1">EC7/Inputs!B19/12</f>
        <v>206305.10389565118</v>
      </c>
      <c r="EE9" s="25">
        <f ca="1">ED7/Inputs!B19/12</f>
        <v>206303.67147267237</v>
      </c>
      <c r="EF9" s="25">
        <f ca="1">EE7/Inputs!B19/12</f>
        <v>206301.80669340093</v>
      </c>
      <c r="EG9" s="25">
        <f ca="1">EF7/Inputs!B19/12</f>
        <v>206300.13848419956</v>
      </c>
      <c r="EH9" s="25">
        <f ca="1">EG7/Inputs!B19/12</f>
        <v>206298.08512984143</v>
      </c>
      <c r="EI9" s="25">
        <f ca="1">EH7/Inputs!B19/12</f>
        <v>206296.58126892219</v>
      </c>
      <c r="EJ9" s="25">
        <f ca="1">EI7/Inputs!B19/12</f>
        <v>206294.93882339331</v>
      </c>
      <c r="EK9" s="25">
        <f ca="1">EJ7/Inputs!B19/12</f>
        <v>206292.6971383628</v>
      </c>
      <c r="EL9" s="25">
        <f ca="1">EK7/Inputs!B19/12</f>
        <v>206290.64370459432</v>
      </c>
      <c r="EM9" s="25">
        <f ca="1">EL7/Inputs!B19/12</f>
        <v>206288.02163698527</v>
      </c>
      <c r="EN9" s="26">
        <f ca="1">SUM(EB9:EM9)</f>
        <v>2475585.1470348709</v>
      </c>
    </row>
    <row r="10" spans="1:144" ht="12.75" customHeight="1" x14ac:dyDescent="0.2">
      <c r="A10" s="5"/>
      <c r="B10" s="24"/>
      <c r="C10" s="24"/>
      <c r="D10" s="24"/>
      <c r="E10" s="24"/>
      <c r="F10" s="24"/>
      <c r="G10" s="24"/>
      <c r="H10" s="24"/>
      <c r="I10" s="24"/>
      <c r="J10" s="24"/>
      <c r="K10" s="24"/>
      <c r="L10" s="24"/>
      <c r="M10" s="24"/>
      <c r="N10" s="5"/>
      <c r="O10" s="24"/>
      <c r="P10" s="24"/>
      <c r="Q10" s="24"/>
      <c r="R10" s="24"/>
      <c r="S10" s="24"/>
      <c r="T10" s="24"/>
      <c r="U10" s="24"/>
      <c r="V10" s="24"/>
      <c r="W10" s="24"/>
      <c r="X10" s="24"/>
      <c r="Y10" s="24"/>
      <c r="Z10" s="24"/>
      <c r="AA10" s="5"/>
      <c r="AB10" s="24"/>
      <c r="AC10" s="24"/>
      <c r="AD10" s="24"/>
      <c r="AE10" s="24"/>
      <c r="AF10" s="24"/>
      <c r="AG10" s="24"/>
      <c r="AH10" s="24"/>
      <c r="AI10" s="24"/>
      <c r="AJ10" s="24"/>
      <c r="AK10" s="24"/>
      <c r="AL10" s="24"/>
      <c r="AM10" s="24"/>
      <c r="AN10" s="5"/>
      <c r="AO10" s="24"/>
      <c r="AP10" s="24"/>
      <c r="AQ10" s="24"/>
      <c r="AR10" s="24"/>
      <c r="AS10" s="24"/>
      <c r="AT10" s="24"/>
      <c r="AU10" s="24"/>
      <c r="AV10" s="24"/>
      <c r="AW10" s="24"/>
      <c r="AX10" s="24"/>
      <c r="AY10" s="24"/>
      <c r="AZ10" s="24"/>
      <c r="BA10" s="5"/>
      <c r="BB10" s="24"/>
      <c r="BC10" s="24"/>
      <c r="BD10" s="24"/>
      <c r="BE10" s="24"/>
      <c r="BF10" s="24"/>
      <c r="BG10" s="24"/>
      <c r="BH10" s="24"/>
      <c r="BI10" s="24"/>
      <c r="BJ10" s="24"/>
      <c r="BK10" s="24"/>
      <c r="BL10" s="24"/>
      <c r="BM10" s="24"/>
      <c r="BN10" s="5"/>
      <c r="BO10" s="24"/>
      <c r="BP10" s="24"/>
      <c r="BQ10" s="24"/>
      <c r="BR10" s="24"/>
      <c r="BS10" s="24"/>
      <c r="BT10" s="24"/>
      <c r="BU10" s="24"/>
      <c r="BV10" s="24"/>
      <c r="BW10" s="24"/>
      <c r="BX10" s="24"/>
      <c r="BY10" s="24"/>
      <c r="BZ10" s="24"/>
      <c r="CA10" s="5"/>
      <c r="CB10" s="24"/>
      <c r="CC10" s="24"/>
      <c r="CD10" s="24"/>
      <c r="CE10" s="24"/>
      <c r="CF10" s="24"/>
      <c r="CG10" s="24"/>
      <c r="CH10" s="24"/>
      <c r="CI10" s="24"/>
      <c r="CJ10" s="24"/>
      <c r="CK10" s="24"/>
      <c r="CL10" s="24"/>
      <c r="CM10" s="24"/>
      <c r="CN10" s="5"/>
      <c r="CO10" s="24"/>
      <c r="CP10" s="24"/>
      <c r="CQ10" s="24"/>
      <c r="CR10" s="24"/>
      <c r="CS10" s="24"/>
      <c r="CT10" s="24"/>
      <c r="CU10" s="24"/>
      <c r="CV10" s="24"/>
      <c r="CW10" s="24"/>
      <c r="CX10" s="24"/>
      <c r="CY10" s="24"/>
      <c r="CZ10" s="24"/>
      <c r="DA10" s="5"/>
      <c r="DB10" s="24"/>
      <c r="DC10" s="24"/>
      <c r="DD10" s="24"/>
      <c r="DE10" s="24"/>
      <c r="DF10" s="24"/>
      <c r="DG10" s="24"/>
      <c r="DH10" s="24"/>
      <c r="DI10" s="24"/>
      <c r="DJ10" s="24"/>
      <c r="DK10" s="24"/>
      <c r="DL10" s="24"/>
      <c r="DM10" s="24"/>
      <c r="DN10" s="5"/>
      <c r="DO10" s="24"/>
      <c r="DP10" s="24"/>
      <c r="DQ10" s="24"/>
      <c r="DR10" s="24"/>
      <c r="DS10" s="24"/>
      <c r="DT10" s="24"/>
      <c r="DU10" s="24"/>
      <c r="DV10" s="24"/>
      <c r="DW10" s="24"/>
      <c r="DX10" s="24"/>
      <c r="DY10" s="24"/>
      <c r="DZ10" s="24"/>
      <c r="EA10" s="5"/>
      <c r="EB10" s="24"/>
      <c r="EC10" s="24"/>
      <c r="ED10" s="24"/>
      <c r="EE10" s="24"/>
      <c r="EF10" s="24"/>
      <c r="EG10" s="24"/>
      <c r="EH10" s="24"/>
      <c r="EI10" s="24"/>
      <c r="EJ10" s="24"/>
      <c r="EK10" s="24"/>
      <c r="EL10" s="24"/>
      <c r="EM10" s="24"/>
      <c r="EN10" s="5"/>
    </row>
    <row r="11" spans="1:144" ht="12.75" customHeight="1" x14ac:dyDescent="0.2">
      <c r="A11" s="11" t="str">
        <f>Labels!B15</f>
        <v>Capital Investment</v>
      </c>
      <c r="B11" s="25">
        <f>B9+(B13-B7)/Inputs!B22/12</f>
        <v>206222.01441622889</v>
      </c>
      <c r="C11" s="25">
        <f ca="1">C9+(C13-C7)/Inputs!B22/12</f>
        <v>206217.29411403454</v>
      </c>
      <c r="D11" s="25">
        <f ca="1">D9+(D13-D7)/Inputs!B22/12</f>
        <v>206157.82265260143</v>
      </c>
      <c r="E11" s="25">
        <f ca="1">E9+(E13-E7)/Inputs!B22/12</f>
        <v>206251.16716364652</v>
      </c>
      <c r="F11" s="25">
        <f ca="1">F9+(F13-F7)/Inputs!B22/12</f>
        <v>206358.40904052826</v>
      </c>
      <c r="G11" s="25">
        <f ca="1">G9+(G13-G7)/Inputs!B22/12</f>
        <v>206252.04640085678</v>
      </c>
      <c r="H11" s="25">
        <f ca="1">H9+(H13-H7)/Inputs!B22/12</f>
        <v>206264.36018231031</v>
      </c>
      <c r="I11" s="25">
        <f ca="1">I9+(I13-I7)/Inputs!B22/12</f>
        <v>206244.88373867585</v>
      </c>
      <c r="J11" s="25">
        <f ca="1">J9+(J13-J7)/Inputs!B22/12</f>
        <v>206261.21659205918</v>
      </c>
      <c r="K11" s="25">
        <f ca="1">K9+(K13-K7)/Inputs!B22/12</f>
        <v>206305.18726494617</v>
      </c>
      <c r="L11" s="25">
        <f ca="1">L9+(L13-L7)/Inputs!B22/12</f>
        <v>206313.52517095127</v>
      </c>
      <c r="M11" s="25">
        <f ca="1">M9+(M13-M7)/Inputs!B22/12</f>
        <v>206339.634637518</v>
      </c>
      <c r="N11" s="26">
        <f ca="1">SUM(B11:M11)</f>
        <v>2475187.561374357</v>
      </c>
      <c r="O11" s="25">
        <f ca="1">O9+(O13-O7)/Inputs!B22/12</f>
        <v>206369.78956259109</v>
      </c>
      <c r="P11" s="25">
        <f ca="1">P9+(P13-P7)/Inputs!B22/12</f>
        <v>206333.66703983155</v>
      </c>
      <c r="Q11" s="25">
        <f ca="1">Q9+(Q13-Q7)/Inputs!B22/12</f>
        <v>206425.39363207328</v>
      </c>
      <c r="R11" s="25">
        <f ca="1">R9+(R13-R7)/Inputs!B22/12</f>
        <v>206347.11783606181</v>
      </c>
      <c r="S11" s="25">
        <f ca="1">S9+(S13-S7)/Inputs!B22/12</f>
        <v>206406.12643826398</v>
      </c>
      <c r="T11" s="25">
        <f ca="1">T9+(T13-T7)/Inputs!B22/12</f>
        <v>206499.91472016694</v>
      </c>
      <c r="U11" s="25">
        <f ca="1">U9+(U13-U7)/Inputs!B22/12</f>
        <v>206607.06897306471</v>
      </c>
      <c r="V11" s="25">
        <f ca="1">V9+(V13-V7)/Inputs!B22/12</f>
        <v>206481.94263690032</v>
      </c>
      <c r="W11" s="25">
        <f ca="1">W9+(W13-W7)/Inputs!B22/12</f>
        <v>206488.14057433966</v>
      </c>
      <c r="X11" s="25">
        <f ca="1">X9+(X13-X7)/Inputs!B22/12</f>
        <v>206562.4923608423</v>
      </c>
      <c r="Y11" s="25">
        <f ca="1">Y9+(Y13-Y7)/Inputs!B22/12</f>
        <v>206452.8429189655</v>
      </c>
      <c r="Z11" s="25">
        <f ca="1">Z9+(Z13-Z7)/Inputs!B22/12</f>
        <v>206484.85522290552</v>
      </c>
      <c r="AA11" s="26">
        <f ca="1">SUM(O11:Z11)</f>
        <v>2477459.3519160068</v>
      </c>
      <c r="AB11" s="25">
        <f ca="1">AB9+(AB13-AB7)/Inputs!B22/12</f>
        <v>206478.44553470213</v>
      </c>
      <c r="AC11" s="25">
        <f ca="1">AC9+(AC13-AC7)/Inputs!B22/12</f>
        <v>206531.45469225757</v>
      </c>
      <c r="AD11" s="25">
        <f ca="1">AD9+(AD13-AD7)/Inputs!B22/12</f>
        <v>206597.00872533143</v>
      </c>
      <c r="AE11" s="25">
        <f ca="1">AE9+(AE13-AE7)/Inputs!B22/12</f>
        <v>206624.66630777283</v>
      </c>
      <c r="AF11" s="25">
        <f ca="1">AF9+(AF13-AF7)/Inputs!B22/12</f>
        <v>206697.48253547153</v>
      </c>
      <c r="AG11" s="25">
        <f ca="1">AG9+(AG13-AG7)/Inputs!B22/12</f>
        <v>206768.39169952026</v>
      </c>
      <c r="AH11" s="25">
        <f ca="1">AH9+(AH13-AH7)/Inputs!B22/12</f>
        <v>206746.54231221986</v>
      </c>
      <c r="AI11" s="25">
        <f ca="1">AI9+(AI13-AI7)/Inputs!B22/12</f>
        <v>206703.00301044536</v>
      </c>
      <c r="AJ11" s="25">
        <f ca="1">AJ9+(AJ13-AJ7)/Inputs!B22/12</f>
        <v>206656.74607008087</v>
      </c>
      <c r="AK11" s="25">
        <f ca="1">AK9+(AK13-AK7)/Inputs!B22/12</f>
        <v>206714.16880707469</v>
      </c>
      <c r="AL11" s="25">
        <f ca="1">AL9+(AL13-AL7)/Inputs!B22/12</f>
        <v>206639.03625463293</v>
      </c>
      <c r="AM11" s="25">
        <f ca="1">AM9+(AM13-AM7)/Inputs!B22/12</f>
        <v>206634.1948617762</v>
      </c>
      <c r="AN11" s="26">
        <f ca="1">SUM(AB11:AM11)</f>
        <v>2479791.1408112855</v>
      </c>
      <c r="AO11" s="25">
        <f ca="1">AO9+(AO13-AO7)/Inputs!B22/12</f>
        <v>206601.27724544701</v>
      </c>
      <c r="AP11" s="25">
        <f ca="1">AP9+(AP13-AP7)/Inputs!B22/12</f>
        <v>206584.77233019841</v>
      </c>
      <c r="AQ11" s="25">
        <f ca="1">AQ9+(AQ13-AQ7)/Inputs!B22/12</f>
        <v>206581.052345951</v>
      </c>
      <c r="AR11" s="25">
        <f ca="1">AR9+(AR13-AR7)/Inputs!B22/12</f>
        <v>206502.24186030246</v>
      </c>
      <c r="AS11" s="25">
        <f ca="1">AS9+(AS13-AS7)/Inputs!B22/12</f>
        <v>206524.40004799346</v>
      </c>
      <c r="AT11" s="25">
        <f ca="1">AT9+(AT13-AT7)/Inputs!B22/12</f>
        <v>206502.29815097543</v>
      </c>
      <c r="AU11" s="25">
        <f ca="1">AU9+(AU13-AU7)/Inputs!B22/12</f>
        <v>206531.60093426573</v>
      </c>
      <c r="AV11" s="25">
        <f ca="1">AV9+(AV13-AV7)/Inputs!B22/12</f>
        <v>206569.10317617896</v>
      </c>
      <c r="AW11" s="25">
        <f ca="1">AW9+(AW13-AW7)/Inputs!B22/12</f>
        <v>206577.63400764513</v>
      </c>
      <c r="AX11" s="25">
        <f ca="1">AX9+(AX13-AX7)/Inputs!B22/12</f>
        <v>206670.58549976037</v>
      </c>
      <c r="AY11" s="25">
        <f ca="1">AY9+(AY13-AY7)/Inputs!B22/12</f>
        <v>206605.14606137224</v>
      </c>
      <c r="AZ11" s="25">
        <f ca="1">AZ9+(AZ13-AZ7)/Inputs!B22/12</f>
        <v>206531.02172055657</v>
      </c>
      <c r="BA11" s="26">
        <f ca="1">SUM(AO11:AZ11)</f>
        <v>2478781.1333806468</v>
      </c>
      <c r="BB11" s="25">
        <f ca="1">BB9+(BB13-BB7)/Inputs!B22/12</f>
        <v>206619.43112850538</v>
      </c>
      <c r="BC11" s="25">
        <f ca="1">BC9+(BC13-BC7)/Inputs!B22/12</f>
        <v>206712.51134670817</v>
      </c>
      <c r="BD11" s="25">
        <f ca="1">BD9+(BD13-BD7)/Inputs!B22/12</f>
        <v>206649.68909300928</v>
      </c>
      <c r="BE11" s="25">
        <f ca="1">BE9+(BE13-BE7)/Inputs!B22/12</f>
        <v>206590.64845439667</v>
      </c>
      <c r="BF11" s="25">
        <f ca="1">BF9+(BF13-BF7)/Inputs!B22/12</f>
        <v>206608.43029072898</v>
      </c>
      <c r="BG11" s="25">
        <f ca="1">BG9+(BG13-BG7)/Inputs!B22/12</f>
        <v>206526.93562957231</v>
      </c>
      <c r="BH11" s="25">
        <f ca="1">BH9+(BH13-BH7)/Inputs!B22/12</f>
        <v>206482.69753997197</v>
      </c>
      <c r="BI11" s="25">
        <f ca="1">BI9+(BI13-BI7)/Inputs!B22/12</f>
        <v>206473.45174698715</v>
      </c>
      <c r="BJ11" s="25">
        <f ca="1">BJ9+(BJ13-BJ7)/Inputs!B22/12</f>
        <v>206433.56267570364</v>
      </c>
      <c r="BK11" s="25">
        <f ca="1">BK9+(BK13-BK7)/Inputs!B22/12</f>
        <v>206525.19043023503</v>
      </c>
      <c r="BL11" s="25">
        <f ca="1">BL9+(BL13-BL7)/Inputs!B22/12</f>
        <v>206465.17611462399</v>
      </c>
      <c r="BM11" s="25">
        <f ca="1">BM9+(BM13-BM7)/Inputs!B22/12</f>
        <v>206551.0039368874</v>
      </c>
      <c r="BN11" s="26">
        <f ca="1">SUM(BB11:BM11)</f>
        <v>2478638.7283873297</v>
      </c>
      <c r="BO11" s="25">
        <f ca="1">BO9+(BO13-BO7)/Inputs!B22/12</f>
        <v>206451.41784999063</v>
      </c>
      <c r="BP11" s="25">
        <f ca="1">BP9+(BP13-BP7)/Inputs!B22/12</f>
        <v>206513.48453748747</v>
      </c>
      <c r="BQ11" s="25">
        <f ca="1">BQ9+(BQ13-BQ7)/Inputs!B22/12</f>
        <v>206603.61085759712</v>
      </c>
      <c r="BR11" s="25">
        <f ca="1">BR9+(BR13-BR7)/Inputs!B22/12</f>
        <v>206584.37058754844</v>
      </c>
      <c r="BS11" s="25">
        <f ca="1">BS9+(BS13-BS7)/Inputs!B22/12</f>
        <v>206523.91171698726</v>
      </c>
      <c r="BT11" s="25">
        <f ca="1">BT9+(BT13-BT7)/Inputs!B22/12</f>
        <v>206637.19849260381</v>
      </c>
      <c r="BU11" s="25">
        <f ca="1">BU9+(BU13-BU7)/Inputs!B22/12</f>
        <v>206572.94138916029</v>
      </c>
      <c r="BV11" s="25">
        <f ca="1">BV9+(BV13-BV7)/Inputs!B22/12</f>
        <v>206637.88544383657</v>
      </c>
      <c r="BW11" s="25">
        <f ca="1">BW9+(BW13-BW7)/Inputs!B22/12</f>
        <v>206669.90369921664</v>
      </c>
      <c r="BX11" s="25">
        <f ca="1">BX9+(BX13-BX7)/Inputs!B22/12</f>
        <v>206748.9327128694</v>
      </c>
      <c r="BY11" s="25">
        <f ca="1">BY9+(BY13-BY7)/Inputs!B22/12</f>
        <v>206722.91862633539</v>
      </c>
      <c r="BZ11" s="25">
        <f ca="1">BZ9+(BZ13-BZ7)/Inputs!B22/12</f>
        <v>206640.65086204506</v>
      </c>
      <c r="CA11" s="26">
        <f ca="1">SUM(BO11:BZ11)</f>
        <v>2479307.2267756783</v>
      </c>
      <c r="CB11" s="25">
        <f ca="1">CB9+(CB13-CB7)/Inputs!B22/12</f>
        <v>206648.16742796288</v>
      </c>
      <c r="CC11" s="25">
        <f ca="1">CC9+(CC13-CC7)/Inputs!B22/12</f>
        <v>206614.96259175616</v>
      </c>
      <c r="CD11" s="25">
        <f ca="1">CD9+(CD13-CD7)/Inputs!B22/12</f>
        <v>206579.41830550364</v>
      </c>
      <c r="CE11" s="25">
        <f ca="1">CE9+(CE13-CE7)/Inputs!B22/12</f>
        <v>206547.9401281247</v>
      </c>
      <c r="CF11" s="25">
        <f ca="1">CF9+(CF13-CF7)/Inputs!B22/12</f>
        <v>206529.40951643622</v>
      </c>
      <c r="CG11" s="25">
        <f ca="1">CG9+(CG13-CG7)/Inputs!B22/12</f>
        <v>206575.30615134156</v>
      </c>
      <c r="CH11" s="25">
        <f ca="1">CH9+(CH13-CH7)/Inputs!B22/12</f>
        <v>206533.43567889469</v>
      </c>
      <c r="CI11" s="25">
        <f ca="1">CI9+(CI13-CI7)/Inputs!B22/12</f>
        <v>206472.53785021126</v>
      </c>
      <c r="CJ11" s="25">
        <f ca="1">CJ9+(CJ13-CJ7)/Inputs!B22/12</f>
        <v>206408.02305662757</v>
      </c>
      <c r="CK11" s="25">
        <f ca="1">CK9+(CK13-CK7)/Inputs!B22/12</f>
        <v>206401.14589367528</v>
      </c>
      <c r="CL11" s="25">
        <f ca="1">CL9+(CL13-CL7)/Inputs!B22/12</f>
        <v>206332.59830112092</v>
      </c>
      <c r="CM11" s="25">
        <f ca="1">CM9+(CM13-CM7)/Inputs!B22/12</f>
        <v>206387.18708441788</v>
      </c>
      <c r="CN11" s="26">
        <f ca="1">SUM(CB11:CM11)</f>
        <v>2478030.1319860723</v>
      </c>
      <c r="CO11" s="25">
        <f ca="1">CO9+(CO13-CO7)/Inputs!B22/12</f>
        <v>206414.65421372332</v>
      </c>
      <c r="CP11" s="25">
        <f ca="1">CP9+(CP13-CP7)/Inputs!B22/12</f>
        <v>206332.36037174452</v>
      </c>
      <c r="CQ11" s="25">
        <f ca="1">CQ9+(CQ13-CQ7)/Inputs!B22/12</f>
        <v>206243.39055697006</v>
      </c>
      <c r="CR11" s="25">
        <f ca="1">CR9+(CR13-CR7)/Inputs!B22/12</f>
        <v>206194.38665354616</v>
      </c>
      <c r="CS11" s="25">
        <f ca="1">CS9+(CS13-CS7)/Inputs!B22/12</f>
        <v>206169.084017685</v>
      </c>
      <c r="CT11" s="25">
        <f ca="1">CT9+(CT13-CT7)/Inputs!B22/12</f>
        <v>206136.34481926812</v>
      </c>
      <c r="CU11" s="25">
        <f ca="1">CU9+(CU13-CU7)/Inputs!B22/12</f>
        <v>206136.13302026835</v>
      </c>
      <c r="CV11" s="25">
        <f ca="1">CV9+(CV13-CV7)/Inputs!B22/12</f>
        <v>206195.9644645373</v>
      </c>
      <c r="CW11" s="25">
        <f ca="1">CW9+(CW13-CW7)/Inputs!B22/12</f>
        <v>206231.47762806618</v>
      </c>
      <c r="CX11" s="25">
        <f ca="1">CX9+(CX13-CX7)/Inputs!B22/12</f>
        <v>206275.62512197072</v>
      </c>
      <c r="CY11" s="25">
        <f ca="1">CY9+(CY13-CY7)/Inputs!B22/12</f>
        <v>206246.45783500167</v>
      </c>
      <c r="CZ11" s="25">
        <f ca="1">CZ9+(CZ13-CZ7)/Inputs!B22/12</f>
        <v>206250.21578890661</v>
      </c>
      <c r="DA11" s="26">
        <f ca="1">SUM(CO11:CZ11)</f>
        <v>2474826.0944916881</v>
      </c>
      <c r="DB11" s="25">
        <f ca="1">DB9+(DB13-DB7)/Inputs!B22/12</f>
        <v>206319.66242855458</v>
      </c>
      <c r="DC11" s="25">
        <f ca="1">DC9+(DC13-DC7)/Inputs!B22/12</f>
        <v>206347.09026360878</v>
      </c>
      <c r="DD11" s="25">
        <f ca="1">DD9+(DD13-DD7)/Inputs!B22/12</f>
        <v>206371.1171891581</v>
      </c>
      <c r="DE11" s="25">
        <f ca="1">DE9+(DE13-DE7)/Inputs!B22/12</f>
        <v>206274.75656598684</v>
      </c>
      <c r="DF11" s="25">
        <f ca="1">DF9+(DF13-DF7)/Inputs!B22/12</f>
        <v>206191.07673643384</v>
      </c>
      <c r="DG11" s="25">
        <f ca="1">DG9+(DG13-DG7)/Inputs!B22/12</f>
        <v>206168.81476343999</v>
      </c>
      <c r="DH11" s="25">
        <f ca="1">DH9+(DH13-DH7)/Inputs!B22/12</f>
        <v>206190.38935944226</v>
      </c>
      <c r="DI11" s="25">
        <f ca="1">DI9+(DI13-DI7)/Inputs!B22/12</f>
        <v>206133.33616704328</v>
      </c>
      <c r="DJ11" s="25">
        <f ca="1">DJ9+(DJ13-DJ7)/Inputs!B22/12</f>
        <v>206080.63050824014</v>
      </c>
      <c r="DK11" s="25">
        <f ca="1">DK9+(DK13-DK7)/Inputs!B22/12</f>
        <v>206103.06917701403</v>
      </c>
      <c r="DL11" s="25">
        <f ca="1">DL9+(DL13-DL7)/Inputs!B22/12</f>
        <v>206119.10734026888</v>
      </c>
      <c r="DM11" s="25">
        <f ca="1">DM9+(DM13-DM7)/Inputs!B22/12</f>
        <v>206170.92162997156</v>
      </c>
      <c r="DN11" s="26">
        <f ca="1">SUM(DB11:DM11)</f>
        <v>2474469.9721291624</v>
      </c>
      <c r="DO11" s="25">
        <f ca="1">DO9+(DO13-DO7)/Inputs!B22/12</f>
        <v>206057.80842179782</v>
      </c>
      <c r="DP11" s="25">
        <f ca="1">DP9+(DP13-DP7)/Inputs!B22/12</f>
        <v>206092.84663321334</v>
      </c>
      <c r="DQ11" s="25">
        <f ca="1">DQ9+(DQ13-DQ7)/Inputs!B22/12</f>
        <v>206059.04266554391</v>
      </c>
      <c r="DR11" s="25">
        <f ca="1">DR9+(DR13-DR7)/Inputs!B22/12</f>
        <v>205997.95023308706</v>
      </c>
      <c r="DS11" s="25">
        <f ca="1">DS9+(DS13-DS7)/Inputs!B22/12</f>
        <v>206055.63714315614</v>
      </c>
      <c r="DT11" s="25">
        <f ca="1">DT9+(DT13-DT7)/Inputs!B22/12</f>
        <v>206055.10991556422</v>
      </c>
      <c r="DU11" s="25">
        <f ca="1">DU9+(DU13-DU7)/Inputs!B22/12</f>
        <v>205982.03879943761</v>
      </c>
      <c r="DV11" s="25">
        <f ca="1">DV9+(DV13-DV7)/Inputs!B22/12</f>
        <v>206070.31884240676</v>
      </c>
      <c r="DW11" s="25">
        <f ca="1">DW9+(DW13-DW7)/Inputs!B22/12</f>
        <v>206108.48045750093</v>
      </c>
      <c r="DX11" s="25">
        <f ca="1">DX9+(DX13-DX7)/Inputs!B22/12</f>
        <v>206029.08670647602</v>
      </c>
      <c r="DY11" s="25">
        <f ca="1">DY9+(DY13-DY7)/Inputs!B22/12</f>
        <v>206062.24237142861</v>
      </c>
      <c r="DZ11" s="25">
        <f ca="1">DZ9+(DZ13-DZ7)/Inputs!B22/12</f>
        <v>206078.10939952647</v>
      </c>
      <c r="EA11" s="26">
        <f ca="1">SUM(DO11:DZ11)</f>
        <v>2472648.6715891394</v>
      </c>
      <c r="EB11" s="25">
        <f ca="1">EB9+(EB13-EB7)/Inputs!B22/12</f>
        <v>206149.72514677173</v>
      </c>
      <c r="EC11" s="25">
        <f ca="1">EC9+(EC13-EC7)/Inputs!B22/12</f>
        <v>206065.39547275173</v>
      </c>
      <c r="ED11" s="25">
        <f ca="1">ED9+(ED13-ED7)/Inputs!B22/12</f>
        <v>205991.82097804421</v>
      </c>
      <c r="EE11" s="25">
        <f ca="1">EE9+(EE13-EE7)/Inputs!B22/12</f>
        <v>206023.41232685061</v>
      </c>
      <c r="EF11" s="25">
        <f ca="1">EF9+(EF13-EF7)/Inputs!B22/12</f>
        <v>205956.84316122526</v>
      </c>
      <c r="EG11" s="25">
        <f ca="1">EG9+(EG13-EG7)/Inputs!B22/12</f>
        <v>206047.48984977553</v>
      </c>
      <c r="EH11" s="25">
        <f ca="1">EH9+(EH13-EH7)/Inputs!B22/12</f>
        <v>206022.15428098818</v>
      </c>
      <c r="EI11" s="25">
        <f ca="1">EI9+(EI13-EI7)/Inputs!B22/12</f>
        <v>205919.97818379092</v>
      </c>
      <c r="EJ11" s="25">
        <f ca="1">EJ9+(EJ13-EJ7)/Inputs!B22/12</f>
        <v>205949.9619502846</v>
      </c>
      <c r="EK11" s="25">
        <f ca="1">EK9+(EK13-EK7)/Inputs!B22/12</f>
        <v>205852.18978004853</v>
      </c>
      <c r="EL11" s="25">
        <f ca="1">EL9+(EL13-EL7)/Inputs!B22/12</f>
        <v>205928.66828982727</v>
      </c>
      <c r="EM11" s="25">
        <f ca="1">EM9+(EM13-EM7)/Inputs!B22/12</f>
        <v>205911.42428104955</v>
      </c>
      <c r="EN11" s="26">
        <f ca="1">SUM(EB11:EM11)</f>
        <v>2471819.0637014084</v>
      </c>
    </row>
    <row r="12" spans="1:144" ht="12.75" customHeight="1" x14ac:dyDescent="0.2">
      <c r="A12" s="5"/>
      <c r="B12" s="24"/>
      <c r="C12" s="24"/>
      <c r="D12" s="24"/>
      <c r="E12" s="24"/>
      <c r="F12" s="24"/>
      <c r="G12" s="24"/>
      <c r="H12" s="24"/>
      <c r="I12" s="24"/>
      <c r="J12" s="24"/>
      <c r="K12" s="24"/>
      <c r="L12" s="24"/>
      <c r="M12" s="24"/>
      <c r="N12" s="5"/>
      <c r="O12" s="24"/>
      <c r="P12" s="24"/>
      <c r="Q12" s="24"/>
      <c r="R12" s="24"/>
      <c r="S12" s="24"/>
      <c r="T12" s="24"/>
      <c r="U12" s="24"/>
      <c r="V12" s="24"/>
      <c r="W12" s="24"/>
      <c r="X12" s="24"/>
      <c r="Y12" s="24"/>
      <c r="Z12" s="24"/>
      <c r="AA12" s="5"/>
      <c r="AB12" s="24"/>
      <c r="AC12" s="24"/>
      <c r="AD12" s="24"/>
      <c r="AE12" s="24"/>
      <c r="AF12" s="24"/>
      <c r="AG12" s="24"/>
      <c r="AH12" s="24"/>
      <c r="AI12" s="24"/>
      <c r="AJ12" s="24"/>
      <c r="AK12" s="24"/>
      <c r="AL12" s="24"/>
      <c r="AM12" s="24"/>
      <c r="AN12" s="5"/>
      <c r="AO12" s="24"/>
      <c r="AP12" s="24"/>
      <c r="AQ12" s="24"/>
      <c r="AR12" s="24"/>
      <c r="AS12" s="24"/>
      <c r="AT12" s="24"/>
      <c r="AU12" s="24"/>
      <c r="AV12" s="24"/>
      <c r="AW12" s="24"/>
      <c r="AX12" s="24"/>
      <c r="AY12" s="24"/>
      <c r="AZ12" s="24"/>
      <c r="BA12" s="5"/>
      <c r="BB12" s="24"/>
      <c r="BC12" s="24"/>
      <c r="BD12" s="24"/>
      <c r="BE12" s="24"/>
      <c r="BF12" s="24"/>
      <c r="BG12" s="24"/>
      <c r="BH12" s="24"/>
      <c r="BI12" s="24"/>
      <c r="BJ12" s="24"/>
      <c r="BK12" s="24"/>
      <c r="BL12" s="24"/>
      <c r="BM12" s="24"/>
      <c r="BN12" s="5"/>
      <c r="BO12" s="24"/>
      <c r="BP12" s="24"/>
      <c r="BQ12" s="24"/>
      <c r="BR12" s="24"/>
      <c r="BS12" s="24"/>
      <c r="BT12" s="24"/>
      <c r="BU12" s="24"/>
      <c r="BV12" s="24"/>
      <c r="BW12" s="24"/>
      <c r="BX12" s="24"/>
      <c r="BY12" s="24"/>
      <c r="BZ12" s="24"/>
      <c r="CA12" s="5"/>
      <c r="CB12" s="24"/>
      <c r="CC12" s="24"/>
      <c r="CD12" s="24"/>
      <c r="CE12" s="24"/>
      <c r="CF12" s="24"/>
      <c r="CG12" s="24"/>
      <c r="CH12" s="24"/>
      <c r="CI12" s="24"/>
      <c r="CJ12" s="24"/>
      <c r="CK12" s="24"/>
      <c r="CL12" s="24"/>
      <c r="CM12" s="24"/>
      <c r="CN12" s="5"/>
      <c r="CO12" s="24"/>
      <c r="CP12" s="24"/>
      <c r="CQ12" s="24"/>
      <c r="CR12" s="24"/>
      <c r="CS12" s="24"/>
      <c r="CT12" s="24"/>
      <c r="CU12" s="24"/>
      <c r="CV12" s="24"/>
      <c r="CW12" s="24"/>
      <c r="CX12" s="24"/>
      <c r="CY12" s="24"/>
      <c r="CZ12" s="24"/>
      <c r="DA12" s="5"/>
      <c r="DB12" s="24"/>
      <c r="DC12" s="24"/>
      <c r="DD12" s="24"/>
      <c r="DE12" s="24"/>
      <c r="DF12" s="24"/>
      <c r="DG12" s="24"/>
      <c r="DH12" s="24"/>
      <c r="DI12" s="24"/>
      <c r="DJ12" s="24"/>
      <c r="DK12" s="24"/>
      <c r="DL12" s="24"/>
      <c r="DM12" s="24"/>
      <c r="DN12" s="5"/>
      <c r="DO12" s="24"/>
      <c r="DP12" s="24"/>
      <c r="DQ12" s="24"/>
      <c r="DR12" s="24"/>
      <c r="DS12" s="24"/>
      <c r="DT12" s="24"/>
      <c r="DU12" s="24"/>
      <c r="DV12" s="24"/>
      <c r="DW12" s="24"/>
      <c r="DX12" s="24"/>
      <c r="DY12" s="24"/>
      <c r="DZ12" s="24"/>
      <c r="EA12" s="5"/>
      <c r="EB12" s="24"/>
      <c r="EC12" s="24"/>
      <c r="ED12" s="24"/>
      <c r="EE12" s="24"/>
      <c r="EF12" s="24"/>
      <c r="EG12" s="24"/>
      <c r="EH12" s="24"/>
      <c r="EI12" s="24"/>
      <c r="EJ12" s="24"/>
      <c r="EK12" s="24"/>
      <c r="EL12" s="24"/>
      <c r="EM12" s="24"/>
      <c r="EN12" s="5"/>
    </row>
    <row r="13" spans="1:144" ht="12.75" customHeight="1" x14ac:dyDescent="0.2">
      <c r="A13" s="9" t="str">
        <f>Labels!B12</f>
        <v>Desired Capital</v>
      </c>
      <c r="B13" s="27">
        <f>Inputs!B20*Demand!B11/(1/Inputs!B19/12+'(Other Computations)'!B11)</f>
        <v>34645298.421926454</v>
      </c>
      <c r="C13" s="27">
        <f ca="1">Inputs!B20*Demand!C11/(1/Inputs!B19/12+'(Other Computations)'!B11)</f>
        <v>34645128.491047457</v>
      </c>
      <c r="D13" s="27">
        <f ca="1">Inputs!B20*Demand!D11/(1/Inputs!B19/12+'(Other Computations)'!B11)</f>
        <v>34642982.798133671</v>
      </c>
      <c r="E13" s="27">
        <f ca="1">Inputs!B20*Demand!E11/(1/Inputs!B19/12+'(Other Computations)'!B11)</f>
        <v>34646280.020260997</v>
      </c>
      <c r="F13" s="27">
        <f ca="1">Inputs!B20*Demand!F11/(1/Inputs!B19/12+'(Other Computations)'!B11)</f>
        <v>34650183.664051116</v>
      </c>
      <c r="G13" s="27">
        <f ca="1">Inputs!B20*Demand!G11/(1/Inputs!B19/12+'(Other Computations)'!B11)</f>
        <v>34646485.16080001</v>
      </c>
      <c r="H13" s="27">
        <f ca="1">Inputs!B20*Demand!H11/(1/Inputs!B19/12+'(Other Computations)'!B11)</f>
        <v>34646929.410094798</v>
      </c>
      <c r="I13" s="27">
        <f ca="1">Inputs!B20*Demand!I11/(1/Inputs!B19/12+'(Other Computations)'!B11)</f>
        <v>34646263.53996817</v>
      </c>
      <c r="J13" s="27">
        <f ca="1">Inputs!B20*Demand!J11/(1/Inputs!B19/12+'(Other Computations)'!B11)</f>
        <v>34646864.683749512</v>
      </c>
      <c r="K13" s="27">
        <f ca="1">Inputs!B20*Demand!K11/(1/Inputs!B19/12+'(Other Computations)'!B11)</f>
        <v>34648481.085399024</v>
      </c>
      <c r="L13" s="27">
        <f ca="1">Inputs!B20*Demand!L11/(1/Inputs!B19/12+'(Other Computations)'!B11)</f>
        <v>34648855.099876888</v>
      </c>
      <c r="M13" s="27">
        <f ca="1">Inputs!B20*Demand!M11/(1/Inputs!B19/12+'(Other Computations)'!B11)</f>
        <v>34649867.607002579</v>
      </c>
      <c r="N13" s="28">
        <f ca="1">M13</f>
        <v>34649867.607002579</v>
      </c>
      <c r="O13" s="27">
        <f ca="1">Inputs!B20*Demand!O11/(1/Inputs!B19/12+'(Other Computations)'!B11)</f>
        <v>34651049.633824416</v>
      </c>
      <c r="P13" s="27">
        <f ca="1">Inputs!B20*Demand!P11/(1/Inputs!B19/12+'(Other Computations)'!B11)</f>
        <v>34649869.800621219</v>
      </c>
      <c r="Q13" s="27">
        <f ca="1">Inputs!B20*Demand!Q11/(1/Inputs!B19/12+'(Other Computations)'!B11)</f>
        <v>34653249.377161369</v>
      </c>
      <c r="R13" s="27">
        <f ca="1">Inputs!B20*Demand!R11/(1/Inputs!B19/12+'(Other Computations)'!B11)</f>
        <v>34650607.617133334</v>
      </c>
      <c r="S13" s="27">
        <f ca="1">Inputs!B20*Demand!S11/(1/Inputs!B19/12+'(Other Computations)'!B11)</f>
        <v>34652809.703117952</v>
      </c>
      <c r="T13" s="27">
        <f ca="1">Inputs!B20*Demand!T11/(1/Inputs!B19/12+'(Other Computations)'!B11)</f>
        <v>34656338.590936072</v>
      </c>
      <c r="U13" s="27">
        <f ca="1">Inputs!B20*Demand!U11/(1/Inputs!B19/12+'(Other Computations)'!B11)</f>
        <v>34660429.334337242</v>
      </c>
      <c r="V13" s="27">
        <f ca="1">Inputs!B20*Demand!V11/(1/Inputs!B19/12+'(Other Computations)'!B11)</f>
        <v>34656244.125500433</v>
      </c>
      <c r="W13" s="27">
        <f ca="1">Inputs!B20*Demand!W11/(1/Inputs!B19/12+'(Other Computations)'!B11)</f>
        <v>34656637.11451409</v>
      </c>
      <c r="X13" s="27">
        <f ca="1">Inputs!B20*Demand!X11/(1/Inputs!B19/12+'(Other Computations)'!B11)</f>
        <v>34659514.751988828</v>
      </c>
      <c r="Y13" s="27">
        <f ca="1">Inputs!B20*Demand!Y11/(1/Inputs!B19/12+'(Other Computations)'!B11)</f>
        <v>34655840.357808098</v>
      </c>
      <c r="Z13" s="27">
        <f ca="1">Inputs!B20*Demand!Z11/(1/Inputs!B19/12+'(Other Computations)'!B11)</f>
        <v>34657139.008240394</v>
      </c>
      <c r="AA13" s="28">
        <f ca="1">Z13</f>
        <v>34657139.008240394</v>
      </c>
      <c r="AB13" s="27">
        <f ca="1">Inputs!B20*Demand!AB11/(1/Inputs!B19/12+'(Other Computations)'!B11)</f>
        <v>34657108.350653403</v>
      </c>
      <c r="AC13" s="27">
        <f ca="1">Inputs!B20*Demand!AC11/(1/Inputs!B19/12+'(Other Computations)'!B11)</f>
        <v>34659202.631763428</v>
      </c>
      <c r="AD13" s="27">
        <f ca="1">Inputs!B20*Demand!AD11/(1/Inputs!B19/12+'(Other Computations)'!B11)</f>
        <v>34661801.720035315</v>
      </c>
      <c r="AE13" s="27">
        <f ca="1">Inputs!B20*Demand!AE11/(1/Inputs!B19/12+'(Other Computations)'!B11)</f>
        <v>34663089.624158517</v>
      </c>
      <c r="AF13" s="27">
        <f ca="1">Inputs!B20*Demand!AF11/(1/Inputs!B19/12+'(Other Computations)'!B11)</f>
        <v>34666015.426329896</v>
      </c>
      <c r="AG13" s="27">
        <f ca="1">Inputs!B20*Demand!AG11/(1/Inputs!B19/12+'(Other Computations)'!B11)</f>
        <v>34668937.724341609</v>
      </c>
      <c r="AH13" s="27">
        <f ca="1">Inputs!B20*Demand!AH11/(1/Inputs!B19/12+'(Other Computations)'!B11)</f>
        <v>34668574.20817969</v>
      </c>
      <c r="AI13" s="27">
        <f ca="1">Inputs!B20*Demand!AI11/(1/Inputs!B19/12+'(Other Computations)'!B11)</f>
        <v>34667390.611078374</v>
      </c>
      <c r="AJ13" s="27">
        <f ca="1">Inputs!B20*Demand!AJ11/(1/Inputs!B19/12+'(Other Computations)'!B11)</f>
        <v>34666067.80347272</v>
      </c>
      <c r="AK13" s="27">
        <f ca="1">Inputs!B20*Demand!AK11/(1/Inputs!B19/12+'(Other Computations)'!B11)</f>
        <v>34668438.252532445</v>
      </c>
      <c r="AL13" s="27">
        <f ca="1">Inputs!B20*Demand!AL11/(1/Inputs!B19/12+'(Other Computations)'!B11)</f>
        <v>34666102.00776428</v>
      </c>
      <c r="AM13" s="27">
        <f ca="1">Inputs!B20*Demand!AM11/(1/Inputs!B19/12+'(Other Computations)'!B11)</f>
        <v>34666207.002372898</v>
      </c>
      <c r="AN13" s="28">
        <f ca="1">AM13</f>
        <v>34666207.002372898</v>
      </c>
      <c r="AO13" s="27">
        <f ca="1">Inputs!B20*Demand!AO11/(1/Inputs!B19/12+'(Other Computations)'!B11)</f>
        <v>34665310.317762516</v>
      </c>
      <c r="AP13" s="27">
        <f ca="1">Inputs!B20*Demand!AP11/(1/Inputs!B19/12+'(Other Computations)'!B11)</f>
        <v>34664970.94780679</v>
      </c>
      <c r="AQ13" s="27">
        <f ca="1">Inputs!B20*Demand!AQ11/(1/Inputs!B19/12+'(Other Computations)'!B11)</f>
        <v>34665080.667860255</v>
      </c>
      <c r="AR13" s="27">
        <f ca="1">Inputs!B20*Demand!AR11/(1/Inputs!B19/12+'(Other Computations)'!B11)</f>
        <v>34662485.429938294</v>
      </c>
      <c r="AS13" s="27">
        <f ca="1">Inputs!B20*Demand!AS11/(1/Inputs!B19/12+'(Other Computations)'!B11)</f>
        <v>34663445.600675352</v>
      </c>
      <c r="AT13" s="27">
        <f ca="1">Inputs!B20*Demand!AT11/(1/Inputs!B19/12+'(Other Computations)'!B11)</f>
        <v>34662850.014395349</v>
      </c>
      <c r="AU13" s="27">
        <f ca="1">Inputs!B20*Demand!AU11/(1/Inputs!B19/12+'(Other Computations)'!B11)</f>
        <v>34664077.179407425</v>
      </c>
      <c r="AV13" s="27">
        <f ca="1">Inputs!B20*Demand!AV11/(1/Inputs!B19/12+'(Other Computations)'!B11)</f>
        <v>34665632.372869641</v>
      </c>
      <c r="AW13" s="27">
        <f ca="1">Inputs!B20*Demand!AW11/(1/Inputs!B19/12+'(Other Computations)'!B11)</f>
        <v>34666174.793244034</v>
      </c>
      <c r="AX13" s="27">
        <f ca="1">Inputs!B20*Demand!AX11/(1/Inputs!B19/12+'(Other Computations)'!B11)</f>
        <v>34669755.631129324</v>
      </c>
      <c r="AY13" s="27">
        <f ca="1">Inputs!B20*Demand!AY11/(1/Inputs!B19/12+'(Other Computations)'!B11)</f>
        <v>34667724.118315898</v>
      </c>
      <c r="AZ13" s="27">
        <f ca="1">Inputs!B20*Demand!AZ11/(1/Inputs!B19/12+'(Other Computations)'!B11)</f>
        <v>34665293.195065469</v>
      </c>
      <c r="BA13" s="28">
        <f ca="1">AZ13</f>
        <v>34665293.195065469</v>
      </c>
      <c r="BB13" s="27">
        <f ca="1">Inputs!B20*Demand!BB11/(1/Inputs!B19/12+'(Other Computations)'!B11)</f>
        <v>34668651.45476792</v>
      </c>
      <c r="BC13" s="27">
        <f ca="1">Inputs!B20*Demand!BC11/(1/Inputs!B19/12+'(Other Computations)'!B11)</f>
        <v>34672280.742828712</v>
      </c>
      <c r="BD13" s="27">
        <f ca="1">Inputs!B20*Demand!BD11/(1/Inputs!B19/12+'(Other Computations)'!B11)</f>
        <v>34670370.632478163</v>
      </c>
      <c r="BE13" s="27">
        <f ca="1">Inputs!B20*Demand!BE11/(1/Inputs!B19/12+'(Other Computations)'!B11)</f>
        <v>34668512.2351119</v>
      </c>
      <c r="BF13" s="27">
        <f ca="1">Inputs!B20*Demand!BF11/(1/Inputs!B19/12+'(Other Computations)'!B11)</f>
        <v>34669371.775909513</v>
      </c>
      <c r="BG13" s="27">
        <f ca="1">Inputs!B20*Demand!BG11/(1/Inputs!B19/12+'(Other Computations)'!B11)</f>
        <v>34666686.206522934</v>
      </c>
      <c r="BH13" s="27">
        <f ca="1">Inputs!B20*Demand!BH11/(1/Inputs!B19/12+'(Other Computations)'!B11)</f>
        <v>34665255.262736954</v>
      </c>
      <c r="BI13" s="27">
        <f ca="1">Inputs!B20*Demand!BI11/(1/Inputs!B19/12+'(Other Computations)'!B11)</f>
        <v>34665055.789071597</v>
      </c>
      <c r="BJ13" s="27">
        <f ca="1">Inputs!B20*Demand!BJ11/(1/Inputs!B19/12+'(Other Computations)'!B11)</f>
        <v>34663752.429117039</v>
      </c>
      <c r="BK13" s="27">
        <f ca="1">Inputs!B20*Demand!BK11/(1/Inputs!B19/12+'(Other Computations)'!B11)</f>
        <v>34667144.973163784</v>
      </c>
      <c r="BL13" s="27">
        <f ca="1">Inputs!B20*Demand!BL11/(1/Inputs!B19/12+'(Other Computations)'!B11)</f>
        <v>34665177.788534887</v>
      </c>
      <c r="BM13" s="27">
        <f ca="1">Inputs!B20*Demand!BM11/(1/Inputs!B19/12+'(Other Computations)'!B11)</f>
        <v>34668380.712839305</v>
      </c>
      <c r="BN13" s="28">
        <f ca="1">BM13</f>
        <v>34668380.712839305</v>
      </c>
      <c r="BO13" s="27">
        <f ca="1">Inputs!B20*Demand!BO11/(1/Inputs!B19/12+'(Other Computations)'!B11)</f>
        <v>34665006.273668535</v>
      </c>
      <c r="BP13" s="27">
        <f ca="1">Inputs!B20*Demand!BP11/(1/Inputs!B19/12+'(Other Computations)'!B11)</f>
        <v>34667332.683263414</v>
      </c>
      <c r="BQ13" s="27">
        <f ca="1">Inputs!B20*Demand!BQ11/(1/Inputs!B19/12+'(Other Computations)'!B11)</f>
        <v>34670751.392267302</v>
      </c>
      <c r="BR13" s="27">
        <f ca="1">Inputs!B20*Demand!BR11/(1/Inputs!B19/12+'(Other Computations)'!B11)</f>
        <v>34670309.182669438</v>
      </c>
      <c r="BS13" s="27">
        <f ca="1">Inputs!B20*Demand!BS11/(1/Inputs!B19/12+'(Other Computations)'!B11)</f>
        <v>34668343.513724715</v>
      </c>
      <c r="BT13" s="27">
        <f ca="1">Inputs!B20*Demand!BT11/(1/Inputs!B19/12+'(Other Computations)'!B11)</f>
        <v>34672574.861371823</v>
      </c>
      <c r="BU13" s="27">
        <f ca="1">Inputs!B20*Demand!BU11/(1/Inputs!B19/12+'(Other Computations)'!B11)</f>
        <v>34670539.61655876</v>
      </c>
      <c r="BV13" s="27">
        <f ca="1">Inputs!B20*Demand!BV11/(1/Inputs!B19/12+'(Other Computations)'!B11)</f>
        <v>34673066.169741437</v>
      </c>
      <c r="BW13" s="27">
        <f ca="1">Inputs!B20*Demand!BW11/(1/Inputs!B19/12+'(Other Computations)'!B11)</f>
        <v>34674484.452756584</v>
      </c>
      <c r="BX13" s="27">
        <f ca="1">Inputs!B20*Demand!BX11/(1/Inputs!B19/12+'(Other Computations)'!B11)</f>
        <v>34677612.102317885</v>
      </c>
      <c r="BY13" s="27">
        <f ca="1">Inputs!B20*Demand!BY11/(1/Inputs!B19/12+'(Other Computations)'!B11)</f>
        <v>34677028.787125312</v>
      </c>
      <c r="BZ13" s="27">
        <f ca="1">Inputs!B20*Demand!BZ11/(1/Inputs!B19/12+'(Other Computations)'!B11)</f>
        <v>34674375.708485305</v>
      </c>
      <c r="CA13" s="28">
        <f ca="1">BZ13</f>
        <v>34674375.708485305</v>
      </c>
      <c r="CB13" s="27">
        <f ca="1">Inputs!B20*Demand!CB11/(1/Inputs!B19/12+'(Other Computations)'!B11)</f>
        <v>34674876.070082739</v>
      </c>
      <c r="CC13" s="27">
        <f ca="1">Inputs!B20*Demand!CC11/(1/Inputs!B19/12+'(Other Computations)'!B11)</f>
        <v>34673933.769904375</v>
      </c>
      <c r="CD13" s="27">
        <f ca="1">Inputs!B20*Demand!CD11/(1/Inputs!B19/12+'(Other Computations)'!B11)</f>
        <v>34672871.066345312</v>
      </c>
      <c r="CE13" s="27">
        <f ca="1">Inputs!B20*Demand!CE11/(1/Inputs!B19/12+'(Other Computations)'!B11)</f>
        <v>34671924.807349071</v>
      </c>
      <c r="CF13" s="27">
        <f ca="1">Inputs!B20*Demand!CF11/(1/Inputs!B19/12+'(Other Computations)'!B11)</f>
        <v>34671419.508156739</v>
      </c>
      <c r="CG13" s="27">
        <f ca="1">Inputs!B20*Demand!CG11/(1/Inputs!B19/12+'(Other Computations)'!B11)</f>
        <v>34673220.691724122</v>
      </c>
      <c r="CH13" s="27">
        <f ca="1">Inputs!B20*Demand!CH11/(1/Inputs!B19/12+'(Other Computations)'!B11)</f>
        <v>34671911.163795009</v>
      </c>
      <c r="CI13" s="27">
        <f ca="1">Inputs!B20*Demand!CI11/(1/Inputs!B19/12+'(Other Computations)'!B11)</f>
        <v>34669864.059238181</v>
      </c>
      <c r="CJ13" s="27">
        <f ca="1">Inputs!B20*Demand!CJ11/(1/Inputs!B19/12+'(Other Computations)'!B11)</f>
        <v>34667633.640925355</v>
      </c>
      <c r="CK13" s="27">
        <f ca="1">Inputs!B20*Demand!CK11/(1/Inputs!B19/12+'(Other Computations)'!B11)</f>
        <v>34667425.847667858</v>
      </c>
      <c r="CL13" s="27">
        <f ca="1">Inputs!B20*Demand!CL11/(1/Inputs!B19/12+'(Other Computations)'!B11)</f>
        <v>34665004.318081215</v>
      </c>
      <c r="CM13" s="27">
        <f ca="1">Inputs!B20*Demand!CM11/(1/Inputs!B19/12+'(Other Computations)'!B11)</f>
        <v>34666948.387297288</v>
      </c>
      <c r="CN13" s="28">
        <f ca="1">CM13</f>
        <v>34666948.387297288</v>
      </c>
      <c r="CO13" s="27">
        <f ca="1">Inputs!B20*Demand!CO11/(1/Inputs!B19/12+'(Other Computations)'!B11)</f>
        <v>34667985.079619557</v>
      </c>
      <c r="CP13" s="27">
        <f ca="1">Inputs!B20*Demand!CP11/(1/Inputs!B19/12+'(Other Computations)'!B11)</f>
        <v>34665086.272264324</v>
      </c>
      <c r="CQ13" s="27">
        <f ca="1">Inputs!B20*Demand!CQ11/(1/Inputs!B19/12+'(Other Computations)'!B11)</f>
        <v>34661858.665258832</v>
      </c>
      <c r="CR13" s="27">
        <f ca="1">Inputs!B20*Demand!CR11/(1/Inputs!B19/12+'(Other Computations)'!B11)</f>
        <v>34659998.116052873</v>
      </c>
      <c r="CS13" s="27">
        <f ca="1">Inputs!B20*Demand!CS11/(1/Inputs!B19/12+'(Other Computations)'!B11)</f>
        <v>34658961.020522207</v>
      </c>
      <c r="CT13" s="27">
        <f ca="1">Inputs!B20*Demand!CT11/(1/Inputs!B19/12+'(Other Computations)'!B11)</f>
        <v>34657641.980801336</v>
      </c>
      <c r="CU13" s="27">
        <f ca="1">Inputs!B20*Demand!CU11/(1/Inputs!B19/12+'(Other Computations)'!B11)</f>
        <v>34657467.361448742</v>
      </c>
      <c r="CV13" s="27">
        <f ca="1">Inputs!B20*Demand!CV11/(1/Inputs!B19/12+'(Other Computations)'!B11)</f>
        <v>34659461.938481733</v>
      </c>
      <c r="CW13" s="27">
        <f ca="1">Inputs!B20*Demand!CW11/(1/Inputs!B19/12+'(Other Computations)'!B11)</f>
        <v>34660641.928253256</v>
      </c>
      <c r="CX13" s="27">
        <f ca="1">Inputs!B20*Demand!CX11/(1/Inputs!B19/12+'(Other Computations)'!B11)</f>
        <v>34662156.394599497</v>
      </c>
      <c r="CY13" s="27">
        <f ca="1">Inputs!B20*Demand!CY11/(1/Inputs!B19/12+'(Other Computations)'!B11)</f>
        <v>34661068.652579553</v>
      </c>
      <c r="CZ13" s="27">
        <f ca="1">Inputs!B20*Demand!CZ11/(1/Inputs!B19/12+'(Other Computations)'!B11)</f>
        <v>34661128.037263468</v>
      </c>
      <c r="DA13" s="28">
        <f ca="1">CZ13</f>
        <v>34661128.037263468</v>
      </c>
      <c r="DB13" s="27">
        <f ca="1">Inputs!B20*Demand!DB11/(1/Inputs!B19/12+'(Other Computations)'!B11)</f>
        <v>34663562.447242916</v>
      </c>
      <c r="DC13" s="27">
        <f ca="1">Inputs!B20*Demand!DC11/(1/Inputs!B19/12+'(Other Computations)'!B11)</f>
        <v>34664553.273416385</v>
      </c>
      <c r="DD13" s="27">
        <f ca="1">Inputs!B20*Demand!DD11/(1/Inputs!B19/12+'(Other Computations)'!B11)</f>
        <v>34665434.604147129</v>
      </c>
      <c r="DE13" s="27">
        <f ca="1">Inputs!B20*Demand!DE11/(1/Inputs!B19/12+'(Other Computations)'!B11)</f>
        <v>34662000.112274647</v>
      </c>
      <c r="DF13" s="27">
        <f ca="1">Inputs!B20*Demand!DF11/(1/Inputs!B19/12+'(Other Computations)'!B11)</f>
        <v>34658920.522332989</v>
      </c>
      <c r="DG13" s="27">
        <f ca="1">Inputs!B20*Demand!DG11/(1/Inputs!B19/12+'(Other Computations)'!B11)</f>
        <v>34657988.738801919</v>
      </c>
      <c r="DH13" s="27">
        <f ca="1">Inputs!B20*Demand!DH11/(1/Inputs!B19/12+'(Other Computations)'!B11)</f>
        <v>34658631.140674219</v>
      </c>
      <c r="DI13" s="27">
        <f ca="1">Inputs!B20*Demand!DI11/(1/Inputs!B19/12+'(Other Computations)'!B11)</f>
        <v>34656470.063090622</v>
      </c>
      <c r="DJ13" s="27">
        <f ca="1">Inputs!B20*Demand!DJ11/(1/Inputs!B19/12+'(Other Computations)'!B11)</f>
        <v>34654404.619703405</v>
      </c>
      <c r="DK13" s="27">
        <f ca="1">Inputs!B20*Demand!DK11/(1/Inputs!B19/12+'(Other Computations)'!B11)</f>
        <v>34655004.530007198</v>
      </c>
      <c r="DL13" s="27">
        <f ca="1">Inputs!B20*Demand!DL11/(1/Inputs!B19/12+'(Other Computations)'!B11)</f>
        <v>34655408.755086966</v>
      </c>
      <c r="DM13" s="27">
        <f ca="1">Inputs!B20*Demand!DM11/(1/Inputs!B19/12+'(Other Computations)'!B11)</f>
        <v>34657113.387987442</v>
      </c>
      <c r="DN13" s="28">
        <f ca="1">DM13</f>
        <v>34657113.387987442</v>
      </c>
      <c r="DO13" s="27">
        <f ca="1">Inputs!B20*Demand!DO11/(1/Inputs!B19/12+'(Other Computations)'!B11)</f>
        <v>34652930.039152406</v>
      </c>
      <c r="DP13" s="27">
        <f ca="1">Inputs!B20*Demand!DP11/(1/Inputs!B19/12+'(Other Computations)'!B11)</f>
        <v>34653956.881590001</v>
      </c>
      <c r="DQ13" s="27">
        <f ca="1">Inputs!B20*Demand!DQ11/(1/Inputs!B19/12+'(Other Computations)'!B11)</f>
        <v>34652565.344677873</v>
      </c>
      <c r="DR13" s="27">
        <f ca="1">Inputs!B20*Demand!DR11/(1/Inputs!B19/12+'(Other Computations)'!B11)</f>
        <v>34650151.506908365</v>
      </c>
      <c r="DS13" s="27">
        <f ca="1">Inputs!B20*Demand!DS11/(1/Inputs!B19/12+'(Other Computations)'!B11)</f>
        <v>34651960.915995143</v>
      </c>
      <c r="DT13" s="27">
        <f ca="1">Inputs!B20*Demand!DT11/(1/Inputs!B19/12+'(Other Computations)'!B11)</f>
        <v>34651746.671118155</v>
      </c>
      <c r="DU13" s="27">
        <f ca="1">Inputs!B20*Demand!DU11/(1/Inputs!B19/12+'(Other Computations)'!B11)</f>
        <v>34648909.548734143</v>
      </c>
      <c r="DV13" s="27">
        <f ca="1">Inputs!B20*Demand!DV11/(1/Inputs!B19/12+'(Other Computations)'!B11)</f>
        <v>34651809.272228576</v>
      </c>
      <c r="DW13" s="27">
        <f ca="1">Inputs!B20*Demand!DW11/(1/Inputs!B19/12+'(Other Computations)'!B11)</f>
        <v>34653009.899995714</v>
      </c>
      <c r="DX13" s="27">
        <f ca="1">Inputs!B20*Demand!DX11/(1/Inputs!B19/12+'(Other Computations)'!B11)</f>
        <v>34649999.435938768</v>
      </c>
      <c r="DY13" s="27">
        <f ca="1">Inputs!B20*Demand!DY11/(1/Inputs!B19/12+'(Other Computations)'!B11)</f>
        <v>34650954.210512131</v>
      </c>
      <c r="DZ13" s="27">
        <f ca="1">Inputs!B20*Demand!DZ11/(1/Inputs!B19/12+'(Other Computations)'!B11)</f>
        <v>34651337.669252589</v>
      </c>
      <c r="EA13" s="28">
        <f ca="1">DZ13</f>
        <v>34651337.669252589</v>
      </c>
      <c r="EB13" s="27">
        <f ca="1">Inputs!B20*Demand!EB11/(1/Inputs!B19/12+'(Other Computations)'!B11)</f>
        <v>34653738.265728474</v>
      </c>
      <c r="EC13" s="27">
        <f ca="1">Inputs!B20*Demand!EC11/(1/Inputs!B19/12+'(Other Computations)'!B11)</f>
        <v>34650594.160293542</v>
      </c>
      <c r="ED13" s="27">
        <f ca="1">Inputs!B20*Demand!ED11/(1/Inputs!B19/12+'(Other Computations)'!B11)</f>
        <v>34647738.622375108</v>
      </c>
      <c r="EE13" s="27">
        <f ca="1">Inputs!B20*Demand!EE11/(1/Inputs!B19/12+'(Other Computations)'!B11)</f>
        <v>34648614.195241772</v>
      </c>
      <c r="EF13" s="27">
        <f ca="1">Inputs!B20*Demand!EF11/(1/Inputs!B19/12+'(Other Computations)'!B11)</f>
        <v>34646004.578187205</v>
      </c>
      <c r="EG13" s="27">
        <f ca="1">Inputs!B20*Demand!EG11/(1/Inputs!B19/12+'(Other Computations)'!B11)</f>
        <v>34648982.950974092</v>
      </c>
      <c r="EH13" s="27">
        <f ca="1">Inputs!B20*Demand!EH11/(1/Inputs!B19/12+'(Other Computations)'!B11)</f>
        <v>34647892.142620213</v>
      </c>
      <c r="EI13" s="27">
        <f ca="1">Inputs!B20*Demand!EI11/(1/Inputs!B19/12+'(Other Computations)'!B11)</f>
        <v>34643992.011265352</v>
      </c>
      <c r="EJ13" s="27">
        <f ca="1">Inputs!B20*Demand!EJ11/(1/Inputs!B19/12+'(Other Computations)'!B11)</f>
        <v>34644753.951813035</v>
      </c>
      <c r="EK13" s="27">
        <f ca="1">Inputs!B20*Demand!EK11/(1/Inputs!B19/12+'(Other Computations)'!B11)</f>
        <v>34640969.877472527</v>
      </c>
      <c r="EL13" s="27">
        <f ca="1">Inputs!B20*Demand!EL11/(1/Inputs!B19/12+'(Other Computations)'!B11)</f>
        <v>34643356.520081915</v>
      </c>
      <c r="EM13" s="27">
        <f ca="1">Inputs!B20*Demand!EM11/(1/Inputs!B19/12+'(Other Computations)'!B11)</f>
        <v>34642468.154785074</v>
      </c>
      <c r="EN13" s="28">
        <f ca="1">EM13</f>
        <v>34642468.154785074</v>
      </c>
    </row>
    <row r="15" spans="1:144" ht="12.75" customHeight="1" x14ac:dyDescent="0.2">
      <c r="A15" s="7" t="str">
        <f>Labels!B13</f>
        <v>Equilib Capital</v>
      </c>
      <c r="B15" s="23">
        <f>Inputs!B20*Output!B13/(1/Inputs!B19/12+'(Other Computations)'!B11)</f>
        <v>34645298.421926454</v>
      </c>
    </row>
    <row r="16" spans="1:144" ht="12.75" customHeight="1" x14ac:dyDescent="0.2">
      <c r="A16" s="11" t="str">
        <f>Labels!B10</f>
        <v>Avg Life Capital</v>
      </c>
      <c r="B16" s="31">
        <f>Inputs!B19</f>
        <v>14</v>
      </c>
    </row>
    <row r="17" spans="1:2" ht="12.75" customHeight="1" x14ac:dyDescent="0.2">
      <c r="A17" s="11" t="str">
        <f>Labels!B14</f>
        <v>Capital Exponent</v>
      </c>
      <c r="B17" s="31">
        <f>Inputs!B20</f>
        <v>0.25</v>
      </c>
    </row>
    <row r="18" spans="1:2" ht="12.75" customHeight="1" x14ac:dyDescent="0.2">
      <c r="A18" s="11" t="str">
        <f>Labels!B26</f>
        <v>Flexibility Capacity Utilization</v>
      </c>
      <c r="B18" s="31">
        <f>Inputs!B21</f>
        <v>0.5</v>
      </c>
    </row>
    <row r="19" spans="1:2" ht="12.75" customHeight="1" x14ac:dyDescent="0.2">
      <c r="A19" s="9" t="str">
        <f>Labels!B52</f>
        <v>Time Adjust Capital</v>
      </c>
      <c r="B19" s="30">
        <f>Inputs!B22</f>
        <v>3</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4"/>
  <sheetViews>
    <sheetView workbookViewId="0"/>
  </sheetViews>
  <sheetFormatPr defaultRowHeight="12.75" customHeight="1" x14ac:dyDescent="0.2"/>
  <cols>
    <col min="1" max="1" width="21.28515625" customWidth="1"/>
    <col min="2" max="2" width="8.5703125" customWidth="1"/>
    <col min="3" max="3" width="8.7109375" customWidth="1"/>
    <col min="4" max="5" width="8.5703125" customWidth="1"/>
    <col min="6" max="6" width="8.85546875" customWidth="1"/>
    <col min="7" max="7" width="8.7109375" customWidth="1"/>
    <col min="8" max="8" width="8.140625" customWidth="1"/>
    <col min="9" max="9" width="9" customWidth="1"/>
    <col min="10" max="10" width="8.7109375" customWidth="1"/>
    <col min="11" max="11" width="8.5703125" customWidth="1"/>
    <col min="12" max="12" width="8.85546875" customWidth="1"/>
    <col min="13" max="13" width="8.7109375" customWidth="1"/>
    <col min="14" max="14" width="8" customWidth="1"/>
    <col min="15" max="15" width="8.5703125" customWidth="1"/>
    <col min="16" max="16" width="8.7109375" customWidth="1"/>
    <col min="17" max="18" width="8.5703125" customWidth="1"/>
    <col min="19" max="19" width="8.85546875" customWidth="1"/>
    <col min="20" max="20" width="8.7109375" customWidth="1"/>
    <col min="21" max="21" width="8.140625" customWidth="1"/>
    <col min="22" max="22" width="8.85546875" customWidth="1"/>
    <col min="23" max="23" width="8.7109375" customWidth="1"/>
    <col min="24" max="24" width="8.42578125" customWidth="1"/>
    <col min="25" max="25" width="8.85546875" customWidth="1"/>
    <col min="26" max="26" width="8.7109375" customWidth="1"/>
    <col min="27" max="27" width="8" customWidth="1"/>
    <col min="28" max="28" width="8.5703125" customWidth="1"/>
    <col min="29" max="29" width="8.7109375" customWidth="1"/>
    <col min="30" max="31" width="8.5703125" customWidth="1"/>
    <col min="32" max="32" width="8.85546875" customWidth="1"/>
    <col min="33" max="33" width="8.7109375" customWidth="1"/>
    <col min="34" max="34" width="8.140625" customWidth="1"/>
    <col min="35" max="35" width="9" customWidth="1"/>
    <col min="36" max="36" width="8.7109375" customWidth="1"/>
    <col min="37" max="37" width="8.5703125" customWidth="1"/>
    <col min="38" max="38" width="8.85546875" customWidth="1"/>
    <col min="39" max="39" width="8.7109375" customWidth="1"/>
    <col min="40" max="40" width="8" customWidth="1"/>
    <col min="41" max="41" width="8.5703125" customWidth="1"/>
    <col min="42" max="42" width="8.7109375" customWidth="1"/>
    <col min="43" max="44" width="8.5703125" customWidth="1"/>
    <col min="45" max="45" width="8.85546875" customWidth="1"/>
    <col min="46" max="46" width="8.7109375" customWidth="1"/>
    <col min="47" max="47" width="8.140625" customWidth="1"/>
    <col min="48" max="48" width="9" customWidth="1"/>
    <col min="49" max="49" width="8.7109375" customWidth="1"/>
    <col min="50" max="50" width="8.5703125" customWidth="1"/>
    <col min="51" max="51" width="8.85546875" customWidth="1"/>
    <col min="52" max="52" width="8.7109375" customWidth="1"/>
    <col min="53" max="53" width="8" customWidth="1"/>
    <col min="54" max="54" width="8.5703125" customWidth="1"/>
    <col min="55" max="55" width="8.7109375" customWidth="1"/>
    <col min="56" max="57" width="8.5703125" customWidth="1"/>
    <col min="58" max="58" width="8.85546875" customWidth="1"/>
    <col min="59" max="59" width="8.7109375" customWidth="1"/>
    <col min="60" max="60" width="8.140625" customWidth="1"/>
    <col min="61" max="61" width="9" customWidth="1"/>
    <col min="62" max="62" width="8.7109375" customWidth="1"/>
    <col min="63" max="63" width="8.5703125" customWidth="1"/>
    <col min="64" max="64" width="8.85546875" customWidth="1"/>
    <col min="65" max="65" width="8.7109375" customWidth="1"/>
    <col min="66" max="66" width="8" customWidth="1"/>
    <col min="67" max="67" width="8.5703125" customWidth="1"/>
    <col min="68" max="68" width="8.7109375" customWidth="1"/>
    <col min="69" max="70" width="8.5703125" customWidth="1"/>
    <col min="71" max="71" width="8.85546875" customWidth="1"/>
    <col min="72" max="72" width="8.7109375" customWidth="1"/>
    <col min="73" max="73" width="8.140625" customWidth="1"/>
    <col min="74" max="74" width="9" customWidth="1"/>
    <col min="75" max="75" width="8.7109375" customWidth="1"/>
    <col min="76" max="76" width="8.5703125" customWidth="1"/>
    <col min="77" max="77" width="8.85546875" customWidth="1"/>
    <col min="78" max="78" width="8.7109375" customWidth="1"/>
    <col min="79" max="79" width="8" customWidth="1"/>
    <col min="80" max="80" width="8.5703125" customWidth="1"/>
    <col min="81" max="81" width="8.7109375" customWidth="1"/>
    <col min="82" max="83" width="8.5703125" customWidth="1"/>
    <col min="84" max="84" width="8.85546875" customWidth="1"/>
    <col min="85" max="85" width="8.7109375" customWidth="1"/>
    <col min="86" max="86" width="8.140625" customWidth="1"/>
    <col min="87" max="87" width="9" customWidth="1"/>
    <col min="88" max="88" width="8.7109375" customWidth="1"/>
    <col min="89" max="89" width="8.5703125" customWidth="1"/>
    <col min="90" max="90" width="8.85546875" customWidth="1"/>
    <col min="91" max="91" width="8.7109375" customWidth="1"/>
    <col min="92" max="92" width="8" customWidth="1"/>
    <col min="93" max="93" width="8.5703125" customWidth="1"/>
    <col min="94" max="94" width="8.7109375" customWidth="1"/>
    <col min="95" max="96" width="8.5703125" customWidth="1"/>
    <col min="97" max="97" width="8.85546875" customWidth="1"/>
    <col min="98" max="98" width="8.7109375" customWidth="1"/>
    <col min="99" max="99" width="8.140625" customWidth="1"/>
    <col min="100" max="100" width="9" customWidth="1"/>
    <col min="101" max="101" width="8.7109375" customWidth="1"/>
    <col min="102" max="102" width="8.5703125" customWidth="1"/>
    <col min="103" max="103" width="8.85546875" customWidth="1"/>
    <col min="104" max="104" width="8.7109375" customWidth="1"/>
    <col min="105" max="105" width="8" customWidth="1"/>
    <col min="106" max="106" width="8.5703125" customWidth="1"/>
    <col min="107" max="107" width="8.7109375" customWidth="1"/>
    <col min="108" max="109" width="8.5703125" customWidth="1"/>
    <col min="110" max="110" width="8.85546875" customWidth="1"/>
    <col min="111" max="111" width="8.7109375" customWidth="1"/>
    <col min="112" max="112" width="8.140625" customWidth="1"/>
    <col min="113" max="113" width="9" customWidth="1"/>
    <col min="114" max="114" width="8.7109375" customWidth="1"/>
    <col min="115" max="115" width="8.5703125" customWidth="1"/>
    <col min="116" max="116" width="8.85546875" customWidth="1"/>
    <col min="117" max="117" width="8.7109375" customWidth="1"/>
    <col min="118" max="118" width="8" customWidth="1"/>
    <col min="119" max="119" width="8.5703125" customWidth="1"/>
    <col min="120" max="120" width="8.7109375" customWidth="1"/>
    <col min="121" max="122" width="8.5703125" customWidth="1"/>
    <col min="123" max="123" width="8.85546875" customWidth="1"/>
    <col min="124" max="124" width="8.7109375" customWidth="1"/>
    <col min="125" max="125" width="8.140625" customWidth="1"/>
    <col min="126" max="126" width="9" customWidth="1"/>
    <col min="127" max="127" width="8.7109375" customWidth="1"/>
    <col min="128" max="128" width="8.5703125" customWidth="1"/>
    <col min="129" max="129" width="8.85546875" customWidth="1"/>
    <col min="130" max="130" width="8.7109375" customWidth="1"/>
    <col min="131" max="131" width="8" customWidth="1"/>
    <col min="132" max="132" width="8.5703125" customWidth="1"/>
    <col min="133" max="133" width="8.7109375" customWidth="1"/>
    <col min="134" max="135" width="8.5703125" customWidth="1"/>
    <col min="136" max="136" width="8.85546875" customWidth="1"/>
    <col min="137" max="137" width="8.7109375" customWidth="1"/>
    <col min="138" max="138" width="8.140625" customWidth="1"/>
    <col min="139" max="139" width="9" customWidth="1"/>
    <col min="140" max="140" width="8.7109375" customWidth="1"/>
    <col min="141" max="141" width="8.5703125" customWidth="1"/>
    <col min="142" max="142" width="8.85546875" customWidth="1"/>
    <col min="143" max="143" width="8.7109375" customWidth="1"/>
    <col min="144" max="144" width="8"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"Employment"</f>
        <v>Employment</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Labels!B22</f>
        <v>Employment</v>
      </c>
      <c r="B7" s="32">
        <f>Inputs!B27+'(Other Computations)'!B8*0/Inputs!B28/12</f>
        <v>140</v>
      </c>
      <c r="C7" s="32">
        <f>B7+'(Other Computations)'!B8*(B9-B7)/Inputs!B28/12</f>
        <v>140</v>
      </c>
      <c r="D7" s="32">
        <f ca="1">C7+'(Other Computations)'!B8*(C9-C7)/Inputs!B28/12</f>
        <v>139.99992847056413</v>
      </c>
      <c r="E7" s="32">
        <f ca="1">D7+'(Other Computations)'!B8*(D9-D7)/Inputs!B28/12</f>
        <v>139.99895581888555</v>
      </c>
      <c r="F7" s="32">
        <f ca="1">E7+'(Other Computations)'!B8*(E9-E7)/Inputs!B28/12</f>
        <v>139.99939923159263</v>
      </c>
      <c r="G7" s="32">
        <f ca="1">F7+'(Other Computations)'!B8*(F9-F7)/Inputs!B28/12</f>
        <v>140.00147316656415</v>
      </c>
      <c r="H7" s="32">
        <f ca="1">G7+'(Other Computations)'!B8*(G9-G7)/Inputs!B28/12</f>
        <v>140.00193037566174</v>
      </c>
      <c r="I7" s="32">
        <f ca="1">H7+'(Other Computations)'!B8*(H9-H7)/Inputs!B28/12</f>
        <v>140.00256109707351</v>
      </c>
      <c r="J7" s="32">
        <f ca="1">I7+'(Other Computations)'!B8*(I9-I7)/Inputs!B28/12</f>
        <v>140.00289294577883</v>
      </c>
      <c r="K7" s="32">
        <f ca="1">J7+'(Other Computations)'!B8*(J9-J7)/Inputs!B28/12</f>
        <v>140.00346778803268</v>
      </c>
      <c r="L7" s="32">
        <f ca="1">K7+'(Other Computations)'!B8*(K9-K7)/Inputs!B28/12</f>
        <v>140.00470589108156</v>
      </c>
      <c r="M7" s="32">
        <f ca="1">L7+'(Other Computations)'!B8*(L9-L7)/Inputs!B28/12</f>
        <v>140.00606500322357</v>
      </c>
      <c r="N7" s="29">
        <f ca="1">M7</f>
        <v>140.00606500322357</v>
      </c>
      <c r="O7" s="32">
        <f ca="1">M7+'(Other Computations)'!B8*(M9-M7)/Inputs!B28/12</f>
        <v>140.00781017114724</v>
      </c>
      <c r="P7" s="32">
        <f ca="1">O7+'(Other Computations)'!B8*(O9-O7)/Inputs!B28/12</f>
        <v>140.01000134581457</v>
      </c>
      <c r="Q7" s="32">
        <f ca="1">P7+'(Other Computations)'!B8*(P9-P7)/Inputs!B28/12</f>
        <v>140.01163113672229</v>
      </c>
      <c r="R7" s="32">
        <f ca="1">Q7+'(Other Computations)'!B8*(Q9-Q7)/Inputs!B28/12</f>
        <v>140.01463461306258</v>
      </c>
      <c r="S7" s="32">
        <f ca="1">R7+'(Other Computations)'!B8*(R9-R7)/Inputs!B28/12</f>
        <v>140.01643717070141</v>
      </c>
      <c r="T7" s="32">
        <f ca="1">S7+'(Other Computations)'!B8*(S9-S7)/Inputs!B28/12</f>
        <v>140.01911197243714</v>
      </c>
      <c r="U7" s="32">
        <f ca="1">T7+'(Other Computations)'!B8*(T9-T7)/Inputs!B28/12</f>
        <v>140.02319196572856</v>
      </c>
      <c r="V7" s="32">
        <f ca="1">U7+'(Other Computations)'!B8*(U9-U7)/Inputs!B28/12</f>
        <v>140.02887253515019</v>
      </c>
      <c r="W7" s="32">
        <f ca="1">V7+'(Other Computations)'!B8*(V9-V7)/Inputs!B28/12</f>
        <v>140.03262304728014</v>
      </c>
      <c r="X7" s="32">
        <f ca="1">W7+'(Other Computations)'!B8*(W9-W7)/Inputs!B28/12</f>
        <v>140.03642548111785</v>
      </c>
      <c r="Y7" s="32">
        <f ca="1">X7+'(Other Computations)'!B8*(X9-X7)/Inputs!B28/12</f>
        <v>140.04132356206125</v>
      </c>
      <c r="Z7" s="32">
        <f ca="1">Y7+'(Other Computations)'!B8*(Y9-Y7)/Inputs!B28/12</f>
        <v>140.0445269748833</v>
      </c>
      <c r="AA7" s="29">
        <f ca="1">Z7</f>
        <v>140.0445269748833</v>
      </c>
      <c r="AB7" s="32">
        <f ca="1">Z7+'(Other Computations)'!B8*(Z9-Z7)/Inputs!B28/12</f>
        <v>140.0481772329278</v>
      </c>
      <c r="AC7" s="32">
        <f ca="1">AB7+'(Other Computations)'!B8*(AB9-AB7)/Inputs!B28/12</f>
        <v>140.05170131623782</v>
      </c>
      <c r="AD7" s="32">
        <f ca="1">AC7+'(Other Computations)'!B8*(AC9-AC7)/Inputs!B28/12</f>
        <v>140.05599671356265</v>
      </c>
      <c r="AE7" s="32">
        <f ca="1">AD7+'(Other Computations)'!B8*(AD9-AD7)/Inputs!B28/12</f>
        <v>140.06125300197567</v>
      </c>
      <c r="AF7" s="32">
        <f ca="1">AE7+'(Other Computations)'!B8*(AE9-AE7)/Inputs!B28/12</f>
        <v>140.06688973032882</v>
      </c>
      <c r="AG7" s="32">
        <f ca="1">AF7+'(Other Computations)'!B8*(AF9-AF7)/Inputs!B28/12</f>
        <v>140.07358444193196</v>
      </c>
      <c r="AH7" s="32">
        <f ca="1">AG7+'(Other Computations)'!B8*(AG9-AG7)/Inputs!B28/12</f>
        <v>140.08130409147452</v>
      </c>
      <c r="AI7" s="32">
        <f ca="1">AH7+'(Other Computations)'!B8*(AH9-AH7)/Inputs!B28/12</f>
        <v>140.08863477671085</v>
      </c>
      <c r="AJ7" s="32">
        <f ca="1">AI7+'(Other Computations)'!B8*(AI9-AI7)/Inputs!B28/12</f>
        <v>140.09524123841015</v>
      </c>
      <c r="AK7" s="32">
        <f ca="1">AJ7+'(Other Computations)'!B8*(AJ9-AJ7)/Inputs!B28/12</f>
        <v>140.10108458943014</v>
      </c>
      <c r="AL7" s="32">
        <f ca="1">AK7+'(Other Computations)'!B8*(AK9-AK7)/Inputs!B28/12</f>
        <v>140.10774040696299</v>
      </c>
      <c r="AM7" s="32">
        <f ca="1">AL7+'(Other Computations)'!B8*(AL9-AL7)/Inputs!B28/12</f>
        <v>140.11320300159306</v>
      </c>
      <c r="AN7" s="29">
        <f ca="1">AM7</f>
        <v>140.11320300159306</v>
      </c>
      <c r="AO7" s="32">
        <f ca="1">AM7+'(Other Computations)'!B8*(AM9-AM7)/Inputs!B28/12</f>
        <v>140.11853337733203</v>
      </c>
      <c r="AP7" s="32">
        <f ca="1">AO7+'(Other Computations)'!B8*(AO9-AO7)/Inputs!B28/12</f>
        <v>140.1233128117743</v>
      </c>
      <c r="AQ7" s="32">
        <f ca="1">AP7+'(Other Computations)'!B8*(AP9-AP7)/Inputs!B28/12</f>
        <v>140.12779095469901</v>
      </c>
      <c r="AR7" s="32">
        <f ca="1">AQ7+'(Other Computations)'!B8*(AQ9-AQ7)/Inputs!B28/12</f>
        <v>140.13216477493856</v>
      </c>
      <c r="AS7" s="32">
        <f ca="1">AR7+'(Other Computations)'!B8*(AR9-AR7)/Inputs!B28/12</f>
        <v>140.13529795486588</v>
      </c>
      <c r="AT7" s="32">
        <f ca="1">AS7+'(Other Computations)'!B8*(AS9-AS7)/Inputs!B28/12</f>
        <v>140.13872226828056</v>
      </c>
      <c r="AU7" s="32">
        <f ca="1">AT7+'(Other Computations)'!B8*(AT9-AT7)/Inputs!B28/12</f>
        <v>140.1417739285933</v>
      </c>
      <c r="AV7" s="32">
        <f ca="1">AU7+'(Other Computations)'!B8*(AU9-AU7)/Inputs!B28/12</f>
        <v>140.14523043051713</v>
      </c>
      <c r="AW7" s="32">
        <f ca="1">AV7+'(Other Computations)'!B8*(AV9-AV7)/Inputs!B28/12</f>
        <v>140.14921766048897</v>
      </c>
      <c r="AX7" s="32">
        <f ca="1">AW7+'(Other Computations)'!B8*(AW9-AW7)/Inputs!B28/12</f>
        <v>140.15329340600923</v>
      </c>
      <c r="AY7" s="32">
        <f ca="1">AX7+'(Other Computations)'!B8*(AX9-AX7)/Inputs!B28/12</f>
        <v>140.15873343685308</v>
      </c>
      <c r="AZ7" s="32">
        <f ca="1">AY7+'(Other Computations)'!B8*(AY9-AY7)/Inputs!B28/12</f>
        <v>140.16313520441986</v>
      </c>
      <c r="BA7" s="29">
        <f ca="1">AZ7</f>
        <v>140.16313520441986</v>
      </c>
      <c r="BB7" s="32">
        <f ca="1">AZ7+'(Other Computations)'!B8*(AZ9-AZ7)/Inputs!B28/12</f>
        <v>140.16635973838564</v>
      </c>
      <c r="BC7" s="32">
        <f ca="1">BB7+'(Other Computations)'!B8*(BB9-BB7)/Inputs!B28/12</f>
        <v>140.17087725273541</v>
      </c>
      <c r="BD7" s="32">
        <f ca="1">BC7+'(Other Computations)'!B8*(BC9-BC7)/Inputs!B28/12</f>
        <v>140.17676392118972</v>
      </c>
      <c r="BE7" s="32">
        <f ca="1">BD7+'(Other Computations)'!B8*(BD9-BD7)/Inputs!B28/12</f>
        <v>140.18164769167657</v>
      </c>
      <c r="BF7" s="32">
        <f ca="1">BE7+'(Other Computations)'!B8*(BE9-BE7)/Inputs!B28/12</f>
        <v>140.18557839182807</v>
      </c>
      <c r="BG7" s="32">
        <f ca="1">BF7+'(Other Computations)'!B8*(BF9-BF7)/Inputs!B28/12</f>
        <v>140.18972688530332</v>
      </c>
      <c r="BH7" s="32">
        <f ca="1">BG7+'(Other Computations)'!B8*(BG9-BG7)/Inputs!B28/12</f>
        <v>140.19259400356384</v>
      </c>
      <c r="BI7" s="32">
        <f ca="1">BH7+'(Other Computations)'!B8*(BH9-BH7)/Inputs!B28/12</f>
        <v>140.19474428524185</v>
      </c>
      <c r="BJ7" s="32">
        <f ca="1">BI7+'(Other Computations)'!B8*(BI9-BI7)/Inputs!B28/12</f>
        <v>140.19671641169916</v>
      </c>
      <c r="BK7" s="32">
        <f ca="1">BJ7+'(Other Computations)'!B8*(BJ9-BJ7)/Inputs!B28/12</f>
        <v>140.19805057577767</v>
      </c>
      <c r="BL7" s="32">
        <f ca="1">BK7+'(Other Computations)'!B8*(BK9-BK7)/Inputs!B28/12</f>
        <v>140.20074162708187</v>
      </c>
      <c r="BM7" s="32">
        <f ca="1">BL7+'(Other Computations)'!B8*(BL9-BL7)/Inputs!B28/12</f>
        <v>140.20249406262863</v>
      </c>
      <c r="BN7" s="29">
        <f ca="1">BM7</f>
        <v>140.20249406262863</v>
      </c>
      <c r="BO7" s="32">
        <f ca="1">BM7+'(Other Computations)'!B8*(BM9-BM7)/Inputs!B28/12</f>
        <v>140.20551091555532</v>
      </c>
      <c r="BP7" s="32">
        <f ca="1">BO7+'(Other Computations)'!B8*(BO9-BO7)/Inputs!B28/12</f>
        <v>140.2069867448389</v>
      </c>
      <c r="BQ7" s="32">
        <f ca="1">BP7+'(Other Computations)'!B8*(BP9-BP7)/Inputs!B28/12</f>
        <v>140.20936536476555</v>
      </c>
      <c r="BR7" s="32">
        <f ca="1">BQ7+'(Other Computations)'!B8*(BQ9-BQ7)/Inputs!B28/12</f>
        <v>140.21308025843561</v>
      </c>
      <c r="BS7" s="32">
        <f ca="1">BR7+'(Other Computations)'!B8*(BR9-BR7)/Inputs!B28/12</f>
        <v>140.21646723861164</v>
      </c>
      <c r="BT7" s="32">
        <f ca="1">BS7+'(Other Computations)'!B8*(BS9-BS7)/Inputs!B28/12</f>
        <v>140.21889395234356</v>
      </c>
      <c r="BU7" s="32">
        <f ca="1">BT7+'(Other Computations)'!B8*(BT9-BT7)/Inputs!B28/12</f>
        <v>140.2229962018678</v>
      </c>
      <c r="BV7" s="32">
        <f ca="1">BU7+'(Other Computations)'!B8*(BU9-BU7)/Inputs!B28/12</f>
        <v>140.22608735183215</v>
      </c>
      <c r="BW7" s="32">
        <f ca="1">BV7+'(Other Computations)'!B8*(BV9-BV7)/Inputs!B28/12</f>
        <v>140.23011623603313</v>
      </c>
      <c r="BX7" s="32">
        <f ca="1">BW7+'(Other Computations)'!B8*(BW9-BW7)/Inputs!B28/12</f>
        <v>140.23458875977019</v>
      </c>
      <c r="BY7" s="32">
        <f ca="1">BX7+'(Other Computations)'!B8*(BX9-BX7)/Inputs!B28/12</f>
        <v>140.24021099778037</v>
      </c>
      <c r="BZ7" s="32">
        <f ca="1">BY7+'(Other Computations)'!B8*(BY9-BY7)/Inputs!B28/12</f>
        <v>140.2453869247646</v>
      </c>
      <c r="CA7" s="29">
        <f ca="1">BZ7</f>
        <v>140.2453869247646</v>
      </c>
      <c r="CB7" s="32">
        <f ca="1">BZ7+'(Other Computations)'!B8*(BZ9-BZ7)/Inputs!B28/12</f>
        <v>140.24925733312315</v>
      </c>
      <c r="CC7" s="32">
        <f ca="1">CB7+'(Other Computations)'!B8*(CB9-CB7)/Inputs!B28/12</f>
        <v>140.25318657274764</v>
      </c>
      <c r="CD7" s="32">
        <f ca="1">CC7+'(Other Computations)'!B8*(CC9-CC7)/Inputs!B28/12</f>
        <v>140.25656509616536</v>
      </c>
      <c r="CE7" s="32">
        <f ca="1">CD7+'(Other Computations)'!B8*(CD9-CD7)/Inputs!B28/12</f>
        <v>140.2593575659541</v>
      </c>
      <c r="CF7" s="32">
        <f ca="1">CE7+'(Other Computations)'!B8*(CE9-CE7)/Inputs!B28/12</f>
        <v>140.26162946146528</v>
      </c>
      <c r="CG7" s="32">
        <f ca="1">CF7+'(Other Computations)'!B8*(CF9-CF7)/Inputs!B28/12</f>
        <v>140.26358106961843</v>
      </c>
      <c r="CH7" s="32">
        <f ca="1">CG7+'(Other Computations)'!B8*(CG9-CG7)/Inputs!B28/12</f>
        <v>140.26619223286312</v>
      </c>
      <c r="CI7" s="32">
        <f ca="1">CH7+'(Other Computations)'!B8*(CH9-CH7)/Inputs!B28/12</f>
        <v>140.26813422487734</v>
      </c>
      <c r="CJ7" s="32">
        <f ca="1">CI7+'(Other Computations)'!B8*(CI9-CI7)/Inputs!B28/12</f>
        <v>140.26911558166174</v>
      </c>
      <c r="CK7" s="32">
        <f ca="1">CJ7+'(Other Computations)'!B8*(CJ9-CJ7)/Inputs!B28/12</f>
        <v>140.26908669741766</v>
      </c>
      <c r="CL7" s="32">
        <f ca="1">CK7+'(Other Computations)'!B8*(CK9-CK7)/Inputs!B28/12</f>
        <v>140.26892812096352</v>
      </c>
      <c r="CM7" s="32">
        <f ca="1">CL7+'(Other Computations)'!B8*(CL9-CL7)/Inputs!B28/12</f>
        <v>140.2677118760283</v>
      </c>
      <c r="CN7" s="29">
        <f ca="1">CM7</f>
        <v>140.2677118760283</v>
      </c>
      <c r="CO7" s="32">
        <f ca="1">CM7+'(Other Computations)'!B8*(CM9-CM7)/Inputs!B28/12</f>
        <v>140.26730631607313</v>
      </c>
      <c r="CP7" s="32">
        <f ca="1">CO7+'(Other Computations)'!B8*(CO9-CO7)/Inputs!B28/12</f>
        <v>140.26730635026794</v>
      </c>
      <c r="CQ7" s="32">
        <f ca="1">CP7+'(Other Computations)'!B8*(CP9-CP7)/Inputs!B28/12</f>
        <v>140.26604383185938</v>
      </c>
      <c r="CR7" s="32">
        <f ca="1">CQ7+'(Other Computations)'!B8*(CQ9-CQ7)/Inputs!B28/12</f>
        <v>140.26341698859491</v>
      </c>
      <c r="CS7" s="32">
        <f ca="1">CR7+'(Other Computations)'!B8*(CR9-CR7)/Inputs!B28/12</f>
        <v>140.26004105424121</v>
      </c>
      <c r="CT7" s="32">
        <f ca="1">CS7+'(Other Computations)'!B8*(CS9-CS7)/Inputs!B28/12</f>
        <v>140.25628487685691</v>
      </c>
      <c r="CU7" s="32">
        <f ca="1">CT7+'(Other Computations)'!B8*(CT9-CT7)/Inputs!B28/12</f>
        <v>140.25204146305498</v>
      </c>
      <c r="CV7" s="32">
        <f ca="1">CU7+'(Other Computations)'!B8*(CU9-CU7)/Inputs!B28/12</f>
        <v>140.2478073832086</v>
      </c>
      <c r="CW7" s="32">
        <f ca="1">CV7+'(Other Computations)'!B8*(CV9-CV7)/Inputs!B28/12</f>
        <v>140.24449628402181</v>
      </c>
      <c r="CX7" s="32">
        <f ca="1">CW7+'(Other Computations)'!B8*(CW9-CW7)/Inputs!B28/12</f>
        <v>140.24173940049374</v>
      </c>
      <c r="CY7" s="32">
        <f ca="1">CX7+'(Other Computations)'!B8*(CX9-CX7)/Inputs!B28/12</f>
        <v>140.23966215361136</v>
      </c>
      <c r="CZ7" s="32">
        <f ca="1">CY7+'(Other Computations)'!B8*(CY9-CY7)/Inputs!B28/12</f>
        <v>140.23715009098694</v>
      </c>
      <c r="DA7" s="29">
        <f ca="1">CZ7</f>
        <v>140.23715009098694</v>
      </c>
      <c r="DB7" s="32">
        <f ca="1">CZ7+'(Other Computations)'!B8*(CZ9-CZ7)/Inputs!B28/12</f>
        <v>140.23469910456959</v>
      </c>
      <c r="DC7" s="32">
        <f ca="1">DB7+'(Other Computations)'!B8*(DB9-DB7)/Inputs!B28/12</f>
        <v>140.23330767473738</v>
      </c>
      <c r="DD7" s="32">
        <f ca="1">DC7+'(Other Computations)'!B8*(DC9-DC7)/Inputs!B28/12</f>
        <v>140.23233800199469</v>
      </c>
      <c r="DE7" s="32">
        <f ca="1">DD7+'(Other Computations)'!B8*(DD9-DD7)/Inputs!B28/12</f>
        <v>140.23173211719083</v>
      </c>
      <c r="DF7" s="32">
        <f ca="1">DE7+'(Other Computations)'!B8*(DE9-DE7)/Inputs!B28/12</f>
        <v>140.22966307436403</v>
      </c>
      <c r="DG7" s="32">
        <f ca="1">DF7+'(Other Computations)'!B8*(DF9-DF7)/Inputs!B28/12</f>
        <v>140.22632278656405</v>
      </c>
      <c r="DH7" s="32">
        <f ca="1">DG7+'(Other Computations)'!B8*(DG9-DG7)/Inputs!B28/12</f>
        <v>140.22265256000372</v>
      </c>
      <c r="DI7" s="32">
        <f ca="1">DH7+'(Other Computations)'!B8*(DH9-DH7)/Inputs!B28/12</f>
        <v>140.21932522864361</v>
      </c>
      <c r="DJ7" s="32">
        <f ca="1">DI7+'(Other Computations)'!B8*(DI9-DI7)/Inputs!B28/12</f>
        <v>140.21515151222422</v>
      </c>
      <c r="DK7" s="32">
        <f ca="1">DJ7+'(Other Computations)'!B8*(DJ9-DJ7)/Inputs!B28/12</f>
        <v>140.21019681241873</v>
      </c>
      <c r="DL7" s="32">
        <f ca="1">DK7+'(Other Computations)'!B8*(DK9-DK7)/Inputs!B28/12</f>
        <v>140.20560646291236</v>
      </c>
      <c r="DM7" s="32">
        <f ca="1">DL7+'(Other Computations)'!B8*(DL9-DL7)/Inputs!B28/12</f>
        <v>140.20128848673139</v>
      </c>
      <c r="DN7" s="29">
        <f ca="1">DM7</f>
        <v>140.20128848673139</v>
      </c>
      <c r="DO7" s="32">
        <f ca="1">DM7+'(Other Computations)'!B8*(DM9-DM7)/Inputs!B28/12</f>
        <v>140.19778325689578</v>
      </c>
      <c r="DP7" s="32">
        <f ca="1">DO7+'(Other Computations)'!B8*(DO9-DO7)/Inputs!B28/12</f>
        <v>140.19258963413736</v>
      </c>
      <c r="DQ7" s="32">
        <f ca="1">DP7+'(Other Computations)'!B8*(DP9-DP7)/Inputs!B28/12</f>
        <v>140.18795028879052</v>
      </c>
      <c r="DR7" s="32">
        <f ca="1">DQ7+'(Other Computations)'!B8*(DQ9-DQ7)/Inputs!B28/12</f>
        <v>140.18283217798881</v>
      </c>
      <c r="DS7" s="32">
        <f ca="1">DR7+'(Other Computations)'!B8*(DR9-DR7)/Inputs!B28/12</f>
        <v>140.17681970624238</v>
      </c>
      <c r="DT7" s="32">
        <f ca="1">DS7+'(Other Computations)'!B8*(DS9-DS7)/Inputs!B28/12</f>
        <v>140.17171740645611</v>
      </c>
      <c r="DU7" s="32">
        <f ca="1">DT7+'(Other Computations)'!B8*(DT9-DT7)/Inputs!B28/12</f>
        <v>140.16664822678095</v>
      </c>
      <c r="DV7" s="32">
        <f ca="1">DU7+'(Other Computations)'!B8*(DU9-DU7)/Inputs!B28/12</f>
        <v>140.16050809927594</v>
      </c>
      <c r="DW7" s="32">
        <f ca="1">DV7+'(Other Computations)'!B8*(DV9-DV7)/Inputs!B28/12</f>
        <v>140.1557437740224</v>
      </c>
      <c r="DX7" s="32">
        <f ca="1">DW7+'(Other Computations)'!B8*(DW9-DW7)/Inputs!B28/12</f>
        <v>140.15160135850897</v>
      </c>
      <c r="DY7" s="32">
        <f ca="1">DX7+'(Other Computations)'!B8*(DX9-DX7)/Inputs!B28/12</f>
        <v>140.14629115116847</v>
      </c>
      <c r="DZ7" s="32">
        <f ca="1">DY7+'(Other Computations)'!B8*(DY9-DY7)/Inputs!B28/12</f>
        <v>140.14151680895665</v>
      </c>
      <c r="EA7" s="29">
        <f ca="1">DZ7</f>
        <v>140.14151680895665</v>
      </c>
      <c r="EB7" s="32">
        <f ca="1">DZ7+'(Other Computations)'!B8*(DZ9-DZ7)/Inputs!B28/12</f>
        <v>140.13702331141175</v>
      </c>
      <c r="EC7" s="32">
        <f ca="1">EB7+'(Other Computations)'!B8*(EB9-EB7)/Inputs!B28/12</f>
        <v>140.13365248589631</v>
      </c>
      <c r="ED7" s="32">
        <f ca="1">EC7+'(Other Computations)'!B8*(EC9-EC7)/Inputs!B28/12</f>
        <v>140.12903872606825</v>
      </c>
      <c r="EE7" s="32">
        <f ca="1">ED7+'(Other Computations)'!B8*(ED9-ED7)/Inputs!B28/12</f>
        <v>140.12334009032074</v>
      </c>
      <c r="EF7" s="32">
        <f ca="1">EE7+'(Other Computations)'!B8*(EE9-EE7)/Inputs!B28/12</f>
        <v>140.11815935707045</v>
      </c>
      <c r="EG7" s="32">
        <f ca="1">EF7+'(Other Computations)'!B8*(EF9-EF7)/Inputs!B28/12</f>
        <v>140.11201553926534</v>
      </c>
      <c r="EH7" s="32">
        <f ca="1">EG7+'(Other Computations)'!B8*(EG9-EG7)/Inputs!B28/12</f>
        <v>140.10728960648549</v>
      </c>
      <c r="EI7" s="32">
        <f ca="1">EH7+'(Other Computations)'!B8*(EH9-EH7)/Inputs!B28/12</f>
        <v>140.10222878259293</v>
      </c>
      <c r="EJ7" s="32">
        <f ca="1">EI7+'(Other Computations)'!B8*(EI9-EI7)/Inputs!B28/12</f>
        <v>140.09566107416404</v>
      </c>
      <c r="EK7" s="32">
        <f ca="1">EJ7+'(Other Computations)'!B8*(EJ9-EJ7)/Inputs!B28/12</f>
        <v>140.08959340917625</v>
      </c>
      <c r="EL7" s="32">
        <f ca="1">EK7+'(Other Computations)'!B8*(EK9-EK7)/Inputs!B28/12</f>
        <v>140.08209892176447</v>
      </c>
      <c r="EM7" s="32">
        <f ca="1">EL7+'(Other Computations)'!B8*(EL9-EL7)/Inputs!B28/12</f>
        <v>140.075817431611</v>
      </c>
      <c r="EN7" s="29">
        <f ca="1">EM7</f>
        <v>140.075817431611</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9" t="str">
        <f>Labels!B23</f>
        <v>Desired Employment</v>
      </c>
      <c r="B9" s="33">
        <f>(1-Inputs!B20)*Demand!B13/B12</f>
        <v>140</v>
      </c>
      <c r="C9" s="33">
        <f ca="1">(1-Inputs!B20)*Demand!C13/B12</f>
        <v>139.99587990449342</v>
      </c>
      <c r="D9" s="33">
        <f ca="1">(1-Inputs!B20)*Demand!D13/B12</f>
        <v>139.94390373387768</v>
      </c>
      <c r="E9" s="33">
        <f ca="1">(1-Inputs!B20)*Demand!E13/B12</f>
        <v>140.02449639081297</v>
      </c>
      <c r="F9" s="33">
        <f ca="1">(1-Inputs!B20)*Demand!F13/B12</f>
        <v>140.11885788595282</v>
      </c>
      <c r="G9" s="33">
        <f ca="1">(1-Inputs!B20)*Demand!G13/B12</f>
        <v>140.02780841058566</v>
      </c>
      <c r="H9" s="33">
        <f ca="1">(1-Inputs!B20)*Demand!H13/B12</f>
        <v>140.03825992897958</v>
      </c>
      <c r="I9" s="33">
        <f ca="1">(1-Inputs!B20)*Demand!I13/B12</f>
        <v>140.02167558249928</v>
      </c>
      <c r="J9" s="33">
        <f ca="1">(1-Inputs!B20)*Demand!J13/B12</f>
        <v>140.03600385960121</v>
      </c>
      <c r="K9" s="33">
        <f ca="1">(1-Inputs!B20)*Demand!K13/B12</f>
        <v>140.07478252364791</v>
      </c>
      <c r="L9" s="33">
        <f ca="1">(1-Inputs!B20)*Demand!L13/B12</f>
        <v>140.08299075046193</v>
      </c>
      <c r="M9" s="33">
        <f ca="1">(1-Inputs!B20)*Demand!M13/B12</f>
        <v>140.10658667562652</v>
      </c>
      <c r="N9" s="30">
        <f ca="1">SUM(B9:M9)</f>
        <v>1680.4712456465388</v>
      </c>
      <c r="O9" s="33">
        <f ca="1">(1-Inputs!B20)*Demand!O13/B12</f>
        <v>140.13402183198559</v>
      </c>
      <c r="P9" s="33">
        <f ca="1">(1-Inputs!B20)*Demand!P13/B12</f>
        <v>140.10387730209882</v>
      </c>
      <c r="Q9" s="33">
        <f ca="1">(1-Inputs!B20)*Demand!Q13/B12</f>
        <v>140.18463137392345</v>
      </c>
      <c r="R9" s="33">
        <f ca="1">(1-Inputs!B20)*Demand!R13/B12</f>
        <v>140.11846193305962</v>
      </c>
      <c r="S9" s="33">
        <f ca="1">(1-Inputs!B20)*Demand!S13/B12</f>
        <v>140.17050575067927</v>
      </c>
      <c r="T9" s="33">
        <f ca="1">(1-Inputs!B20)*Demand!T13/B12</f>
        <v>140.25411958602234</v>
      </c>
      <c r="U9" s="33">
        <f ca="1">(1-Inputs!B20)*Demand!U13/B12</f>
        <v>140.35039276441492</v>
      </c>
      <c r="V9" s="33">
        <f ca="1">(1-Inputs!B20)*Demand!V13/B12</f>
        <v>140.24490203383519</v>
      </c>
      <c r="W9" s="33">
        <f ca="1">(1-Inputs!B20)*Demand!W13/B12</f>
        <v>140.25164323633183</v>
      </c>
      <c r="X9" s="33">
        <f ca="1">(1-Inputs!B20)*Demand!X13/B12</f>
        <v>140.31855494345871</v>
      </c>
      <c r="Y9" s="33">
        <f ca="1">(1-Inputs!B20)*Demand!Y13/B12</f>
        <v>140.22584014061064</v>
      </c>
      <c r="Z9" s="33">
        <f ca="1">(1-Inputs!B20)*Demand!Z13/B12</f>
        <v>140.25478183824603</v>
      </c>
      <c r="AA9" s="30">
        <f ca="1">SUM(O9:Z9)</f>
        <v>1682.6117327346662</v>
      </c>
      <c r="AB9" s="33">
        <f ca="1">(1-Inputs!B20)*Demand!AB13/B12</f>
        <v>140.25116443158532</v>
      </c>
      <c r="AC9" s="33">
        <f ca="1">(1-Inputs!B20)*Demand!AC13/B12</f>
        <v>140.29911620214753</v>
      </c>
      <c r="AD9" s="33">
        <f ca="1">(1-Inputs!B20)*Demand!AD13/B12</f>
        <v>140.35875892615314</v>
      </c>
      <c r="AE9" s="33">
        <f ca="1">(1-Inputs!B20)*Demand!AE13/B12</f>
        <v>140.38592855511649</v>
      </c>
      <c r="AF9" s="33">
        <f ca="1">(1-Inputs!B20)*Demand!AF13/B12</f>
        <v>140.45250511866854</v>
      </c>
      <c r="AG9" s="33">
        <f ca="1">(1-Inputs!B20)*Demand!AG13/B12</f>
        <v>140.51823625558384</v>
      </c>
      <c r="AH9" s="33">
        <f ca="1">(1-Inputs!B20)*Demand!AH13/B12</f>
        <v>140.50355156108665</v>
      </c>
      <c r="AI9" s="33">
        <f ca="1">(1-Inputs!B20)*Demand!AI13/B12</f>
        <v>140.46916697059075</v>
      </c>
      <c r="AJ9" s="33">
        <f ca="1">(1-Inputs!B20)*Demand!AJ13/B12</f>
        <v>140.43181825716181</v>
      </c>
      <c r="AK9" s="33">
        <f ca="1">(1-Inputs!B20)*Demand!AK13/B12</f>
        <v>140.48445967932125</v>
      </c>
      <c r="AL9" s="33">
        <f ca="1">(1-Inputs!B20)*Demand!AL13/B12</f>
        <v>140.42238585765566</v>
      </c>
      <c r="AM9" s="33">
        <f ca="1">(1-Inputs!B20)*Demand!AM13/B12</f>
        <v>140.42023264415812</v>
      </c>
      <c r="AN9" s="30">
        <f ca="1">SUM(AB9:AM9)</f>
        <v>1684.997324459229</v>
      </c>
      <c r="AO9" s="33">
        <f ca="1">(1-Inputs!B20)*Demand!AO13/B12</f>
        <v>140.39382880120598</v>
      </c>
      <c r="AP9" s="33">
        <f ca="1">(1-Inputs!B20)*Demand!AP13/B12</f>
        <v>140.38125384423773</v>
      </c>
      <c r="AQ9" s="33">
        <f ca="1">(1-Inputs!B20)*Demand!AQ13/B12</f>
        <v>140.37972300049756</v>
      </c>
      <c r="AR9" s="33">
        <f ca="1">(1-Inputs!B20)*Demand!AR13/B12</f>
        <v>140.3126359387517</v>
      </c>
      <c r="AS9" s="33">
        <f ca="1">(1-Inputs!B20)*Demand!AS13/B12</f>
        <v>140.33253840755094</v>
      </c>
      <c r="AT9" s="33">
        <f ca="1">(1-Inputs!B20)*Demand!AT13/B12</f>
        <v>140.31449790229479</v>
      </c>
      <c r="AU9" s="33">
        <f ca="1">(1-Inputs!B20)*Demand!AU13/B12</f>
        <v>140.34086843940568</v>
      </c>
      <c r="AV9" s="33">
        <f ca="1">(1-Inputs!B20)*Demand!AV13/B12</f>
        <v>140.37489487689518</v>
      </c>
      <c r="AW9" s="33">
        <f ca="1">(1-Inputs!B20)*Demand!AW13/B12</f>
        <v>140.3839806024564</v>
      </c>
      <c r="AX9" s="33">
        <f ca="1">(1-Inputs!B20)*Demand!AX13/B12</f>
        <v>140.46663918261592</v>
      </c>
      <c r="AY9" s="33">
        <f ca="1">(1-Inputs!B20)*Demand!AY13/B12</f>
        <v>140.41227524869862</v>
      </c>
      <c r="AZ9" s="33">
        <f ca="1">(1-Inputs!B20)*Demand!AZ13/B12</f>
        <v>140.34886836084797</v>
      </c>
      <c r="BA9" s="30">
        <f ca="1">SUM(AO9:AZ9)</f>
        <v>1684.4420046054584</v>
      </c>
      <c r="BB9" s="33">
        <f ca="1">(1-Inputs!B20)*Demand!BB13/B12</f>
        <v>140.42656856493227</v>
      </c>
      <c r="BC9" s="33">
        <f ca="1">(1-Inputs!B20)*Demand!BC13/B12</f>
        <v>140.50994935570441</v>
      </c>
      <c r="BD9" s="33">
        <f ca="1">(1-Inputs!B20)*Demand!BD13/B12</f>
        <v>140.45806910123267</v>
      </c>
      <c r="BE9" s="33">
        <f ca="1">(1-Inputs!B20)*Demand!BE13/B12</f>
        <v>140.40805602040314</v>
      </c>
      <c r="BF9" s="33">
        <f ca="1">(1-Inputs!B20)*Demand!BF13/B12</f>
        <v>140.42453161600179</v>
      </c>
      <c r="BG9" s="33">
        <f ca="1">(1-Inputs!B20)*Demand!BG13/B12</f>
        <v>140.35487289710895</v>
      </c>
      <c r="BH9" s="33">
        <f ca="1">(1-Inputs!B20)*Demand!BH13/B12</f>
        <v>140.31645022821709</v>
      </c>
      <c r="BI9" s="33">
        <f ca="1">(1-Inputs!B20)*Demand!BI13/B12</f>
        <v>140.30833876918277</v>
      </c>
      <c r="BJ9" s="33">
        <f ca="1">(1-Inputs!B20)*Demand!BJ13/B12</f>
        <v>140.27356426262151</v>
      </c>
      <c r="BK9" s="33">
        <f ca="1">(1-Inputs!B20)*Demand!BK13/B12</f>
        <v>140.35305513089938</v>
      </c>
      <c r="BL9" s="33">
        <f ca="1">(1-Inputs!B20)*Demand!BL13/B12</f>
        <v>140.30168191457531</v>
      </c>
      <c r="BM9" s="33">
        <f ca="1">(1-Inputs!B20)*Demand!BM13/B12</f>
        <v>140.3762647912055</v>
      </c>
      <c r="BN9" s="30">
        <f ca="1">SUM(BB9:BM9)</f>
        <v>1684.5114026520846</v>
      </c>
      <c r="BO9" s="33">
        <f ca="1">(1-Inputs!B20)*Demand!BO13/B12</f>
        <v>140.29051868228973</v>
      </c>
      <c r="BP9" s="33">
        <f ca="1">(1-Inputs!B20)*Demand!BP13/B12</f>
        <v>140.34399525261381</v>
      </c>
      <c r="BQ9" s="33">
        <f ca="1">(1-Inputs!B20)*Demand!BQ13/B12</f>
        <v>140.4233432401615</v>
      </c>
      <c r="BR9" s="33">
        <f ca="1">(1-Inputs!B20)*Demand!BR13/B12</f>
        <v>140.40817031657537</v>
      </c>
      <c r="BS9" s="33">
        <f ca="1">(1-Inputs!B20)*Demand!BS13/B12</f>
        <v>140.35624594957079</v>
      </c>
      <c r="BT9" s="33">
        <f ca="1">(1-Inputs!B20)*Demand!BT13/B12</f>
        <v>140.45518352494008</v>
      </c>
      <c r="BU9" s="33">
        <f ca="1">(1-Inputs!B20)*Demand!BU13/B12</f>
        <v>140.40104643981473</v>
      </c>
      <c r="BV9" s="33">
        <f ca="1">(1-Inputs!B20)*Demand!BV13/B12</f>
        <v>140.45815108180909</v>
      </c>
      <c r="BW9" s="33">
        <f ca="1">(1-Inputs!B20)*Demand!BW13/B12</f>
        <v>140.48773360328789</v>
      </c>
      <c r="BX9" s="33">
        <f ca="1">(1-Inputs!B20)*Demand!BX13/B12</f>
        <v>140.55842966915625</v>
      </c>
      <c r="BY9" s="33">
        <f ca="1">(1-Inputs!B20)*Demand!BY13/B12</f>
        <v>140.53834439207293</v>
      </c>
      <c r="BZ9" s="33">
        <f ca="1">(1-Inputs!B20)*Demand!BZ13/B12</f>
        <v>140.46832244621788</v>
      </c>
      <c r="CA9" s="30">
        <f ca="1">SUM(BO9:BZ9)</f>
        <v>1685.1894845985105</v>
      </c>
      <c r="CB9" s="33">
        <f ca="1">(1-Inputs!B20)*Demand!CB13/B12</f>
        <v>140.47558153549343</v>
      </c>
      <c r="CC9" s="33">
        <f ca="1">(1-Inputs!B20)*Demand!CC13/B12</f>
        <v>140.44778952160775</v>
      </c>
      <c r="CD9" s="33">
        <f ca="1">(1-Inputs!B20)*Demand!CD13/B12</f>
        <v>140.41741135599759</v>
      </c>
      <c r="CE9" s="33">
        <f ca="1">(1-Inputs!B20)*Demand!CE13/B12</f>
        <v>140.39021874739743</v>
      </c>
      <c r="CF9" s="33">
        <f ca="1">(1-Inputs!B20)*Demand!CF13/B12</f>
        <v>140.3740420910861</v>
      </c>
      <c r="CG9" s="33">
        <f ca="1">(1-Inputs!B20)*Demand!CG13/B12</f>
        <v>140.41398407251327</v>
      </c>
      <c r="CH9" s="33">
        <f ca="1">(1-Inputs!B20)*Demand!CH13/B12</f>
        <v>140.37805097288248</v>
      </c>
      <c r="CI9" s="33">
        <f ca="1">(1-Inputs!B20)*Demand!CI13/B12</f>
        <v>140.32466037565868</v>
      </c>
      <c r="CJ9" s="33">
        <f ca="1">(1-Inputs!B20)*Demand!CJ13/B12</f>
        <v>140.26745184920296</v>
      </c>
      <c r="CK9" s="33">
        <f ca="1">(1-Inputs!B20)*Demand!CK13/B12</f>
        <v>140.25995269365993</v>
      </c>
      <c r="CL9" s="33">
        <f ca="1">(1-Inputs!B20)*Demand!CL13/B12</f>
        <v>140.19887241269504</v>
      </c>
      <c r="CM9" s="33">
        <f ca="1">(1-Inputs!B20)*Demand!CM13/B12</f>
        <v>140.24435162261017</v>
      </c>
      <c r="CN9" s="30">
        <f ca="1">SUM(CB9:CM9)</f>
        <v>1684.1923672508044</v>
      </c>
      <c r="CO9" s="33">
        <f ca="1">(1-Inputs!B20)*Demand!CO13/B12</f>
        <v>140.26730828569359</v>
      </c>
      <c r="CP9" s="33">
        <f ca="1">(1-Inputs!B20)*Demand!CP13/B12</f>
        <v>140.19458528993408</v>
      </c>
      <c r="CQ9" s="33">
        <f ca="1">(1-Inputs!B20)*Demand!CQ13/B12</f>
        <v>140.11473765982609</v>
      </c>
      <c r="CR9" s="33">
        <f ca="1">(1-Inputs!B20)*Demand!CR13/B12</f>
        <v>140.06896316982164</v>
      </c>
      <c r="CS9" s="33">
        <f ca="1">(1-Inputs!B20)*Demand!CS13/B12</f>
        <v>140.04368523690525</v>
      </c>
      <c r="CT9" s="33">
        <f ca="1">(1-Inputs!B20)*Demand!CT13/B12</f>
        <v>140.01186424186568</v>
      </c>
      <c r="CU9" s="33">
        <f ca="1">(1-Inputs!B20)*Demand!CU13/B12</f>
        <v>140.00815846390407</v>
      </c>
      <c r="CV9" s="33">
        <f ca="1">(1-Inputs!B20)*Demand!CV13/B12</f>
        <v>140.05708807004888</v>
      </c>
      <c r="CW9" s="33">
        <f ca="1">(1-Inputs!B20)*Demand!CW13/B12</f>
        <v>140.08569979280588</v>
      </c>
      <c r="CX9" s="33">
        <f ca="1">(1-Inputs!B20)*Demand!CX13/B12</f>
        <v>140.12208998006886</v>
      </c>
      <c r="CY9" s="33">
        <f ca="1">(1-Inputs!B20)*Demand!CY13/B12</f>
        <v>140.09496734644426</v>
      </c>
      <c r="CZ9" s="33">
        <f ca="1">(1-Inputs!B20)*Demand!CZ13/B12</f>
        <v>140.09597327334691</v>
      </c>
      <c r="DA9" s="30">
        <f ca="1">SUM(CO9:CZ9)</f>
        <v>1681.1651208106653</v>
      </c>
      <c r="DB9" s="33">
        <f ca="1">(1-Inputs!B20)*Demand!DB13/B12</f>
        <v>140.15455274623369</v>
      </c>
      <c r="DC9" s="33">
        <f ca="1">(1-Inputs!B20)*Demand!DC13/B12</f>
        <v>140.17745452475873</v>
      </c>
      <c r="DD9" s="33">
        <f ca="1">(1-Inputs!B20)*Demand!DD13/B12</f>
        <v>140.19743903729164</v>
      </c>
      <c r="DE9" s="33">
        <f ca="1">(1-Inputs!B20)*Demand!DE13/B12</f>
        <v>140.11255525036611</v>
      </c>
      <c r="DF9" s="33">
        <f ca="1">(1-Inputs!B20)*Demand!DF13/B12</f>
        <v>140.03726249708592</v>
      </c>
      <c r="DG9" s="33">
        <f ca="1">(1-Inputs!B20)*Demand!DG13/B12</f>
        <v>140.01491773668849</v>
      </c>
      <c r="DH9" s="33">
        <f ca="1">(1-Inputs!B20)*Demand!DH13/B12</f>
        <v>140.03099827366171</v>
      </c>
      <c r="DI9" s="33">
        <f ca="1">(1-Inputs!B20)*Demand!DI13/B12</f>
        <v>139.97891916288685</v>
      </c>
      <c r="DJ9" s="33">
        <f ca="1">(1-Inputs!B20)*Demand!DJ13/B12</f>
        <v>139.92976080342828</v>
      </c>
      <c r="DK9" s="33">
        <f ca="1">(1-Inputs!B20)*Demand!DK13/B12</f>
        <v>139.94579268085215</v>
      </c>
      <c r="DL9" s="33">
        <f ca="1">(1-Inputs!B20)*Demand!DL13/B12</f>
        <v>139.95689103488783</v>
      </c>
      <c r="DM9" s="33">
        <f ca="1">(1-Inputs!B20)*Demand!DM13/B12</f>
        <v>139.99938724820007</v>
      </c>
      <c r="DN9" s="30">
        <f ca="1">SUM(DB9:DM9)</f>
        <v>1680.5359309963417</v>
      </c>
      <c r="DO9" s="33">
        <f ca="1">(1-Inputs!B20)*Demand!DO13/B12</f>
        <v>139.89863058601148</v>
      </c>
      <c r="DP9" s="33">
        <f ca="1">(1-Inputs!B20)*Demand!DP13/B12</f>
        <v>139.92536334215947</v>
      </c>
      <c r="DQ9" s="33">
        <f ca="1">(1-Inputs!B20)*Demand!DQ13/B12</f>
        <v>139.89314710661222</v>
      </c>
      <c r="DR9" s="33">
        <f ca="1">(1-Inputs!B20)*Demand!DR13/B12</f>
        <v>139.83651380539368</v>
      </c>
      <c r="DS9" s="33">
        <f ca="1">(1-Inputs!B20)*Demand!DS13/B12</f>
        <v>139.88292723855284</v>
      </c>
      <c r="DT9" s="33">
        <f ca="1">(1-Inputs!B20)*Demand!DT13/B12</f>
        <v>139.87973265716653</v>
      </c>
      <c r="DU9" s="33">
        <f ca="1">(1-Inputs!B20)*Demand!DU13/B12</f>
        <v>139.81297688249325</v>
      </c>
      <c r="DV9" s="33">
        <f ca="1">(1-Inputs!B20)*Demand!DV13/B12</f>
        <v>139.8860829646718</v>
      </c>
      <c r="DW9" s="33">
        <f ca="1">(1-Inputs!B20)*Demand!DW13/B12</f>
        <v>139.91714064044916</v>
      </c>
      <c r="DX9" s="33">
        <f ca="1">(1-Inputs!B20)*Demand!DX13/B12</f>
        <v>139.84573341569597</v>
      </c>
      <c r="DY9" s="33">
        <f ca="1">(1-Inputs!B20)*Demand!DY13/B12</f>
        <v>139.8712890397683</v>
      </c>
      <c r="DZ9" s="33">
        <f ca="1">(1-Inputs!B20)*Demand!DZ13/B12</f>
        <v>139.88269135037024</v>
      </c>
      <c r="EA9" s="30">
        <f ca="1">SUM(DO9:DZ9)</f>
        <v>1678.5322290293448</v>
      </c>
      <c r="EB9" s="33">
        <f ca="1">(1-Inputs!B20)*Demand!EB13/B12</f>
        <v>139.94286376172261</v>
      </c>
      <c r="EC9" s="33">
        <f ca="1">(1-Inputs!B20)*Demand!EC13/B12</f>
        <v>139.86789991980012</v>
      </c>
      <c r="ED9" s="33">
        <f ca="1">(1-Inputs!B20)*Demand!ED13/B12</f>
        <v>139.80079730701203</v>
      </c>
      <c r="EE9" s="33">
        <f ca="1">(1-Inputs!B20)*Demand!EE13/B12</f>
        <v>139.8249298551041</v>
      </c>
      <c r="EF9" s="33">
        <f ca="1">(1-Inputs!B20)*Demand!EF13/B12</f>
        <v>139.76427545149534</v>
      </c>
      <c r="EG9" s="33">
        <f ca="1">(1-Inputs!B20)*Demand!EG13/B12</f>
        <v>139.83980181114637</v>
      </c>
      <c r="EH9" s="33">
        <f ca="1">(1-Inputs!B20)*Demand!EH13/B12</f>
        <v>139.81578615027382</v>
      </c>
      <c r="EI9" s="33">
        <f ca="1">(1-Inputs!B20)*Demand!EI13/B12</f>
        <v>139.72392877708961</v>
      </c>
      <c r="EJ9" s="33">
        <f ca="1">(1-Inputs!B20)*Demand!EJ13/B12</f>
        <v>139.74616357086677</v>
      </c>
      <c r="EK9" s="33">
        <f ca="1">(1-Inputs!B20)*Demand!EK13/B12</f>
        <v>139.65791093425804</v>
      </c>
      <c r="EL9" s="33">
        <f ca="1">(1-Inputs!B20)*Demand!EL13/B12</f>
        <v>139.72028508892464</v>
      </c>
      <c r="EM9" s="33">
        <f ca="1">(1-Inputs!B20)*Demand!EM13/B12</f>
        <v>139.70252197929725</v>
      </c>
      <c r="EN9" s="30">
        <f ca="1">SUM(EB9:EM9)</f>
        <v>1677.4071646069906</v>
      </c>
    </row>
    <row r="11" spans="1:144" ht="12.75" customHeight="1" x14ac:dyDescent="0.2">
      <c r="A11" s="7" t="str">
        <f>Labels!B24</f>
        <v>Equilibrium Employment</v>
      </c>
      <c r="B11" s="29">
        <f>Inputs!B27</f>
        <v>140</v>
      </c>
    </row>
    <row r="12" spans="1:144" ht="12.75" customHeight="1" x14ac:dyDescent="0.2">
      <c r="A12" s="11" t="str">
        <f>Labels!B42</f>
        <v>Equilib Real Wage</v>
      </c>
      <c r="B12" s="26">
        <f>Inputs!B29*Output!B13/Inputs!B27</f>
        <v>6250</v>
      </c>
    </row>
    <row r="13" spans="1:144" ht="12.75" customHeight="1" x14ac:dyDescent="0.2">
      <c r="A13" s="11" t="str">
        <f>Labels!B43</f>
        <v>Equilibrium Real Wage %</v>
      </c>
      <c r="B13" s="34">
        <f>Inputs!B29</f>
        <v>0.75</v>
      </c>
    </row>
    <row r="14" spans="1:144" ht="12.75" customHeight="1" x14ac:dyDescent="0.2">
      <c r="A14" s="9" t="str">
        <f>Labels!B53</f>
        <v>Time Adjust Employment</v>
      </c>
      <c r="B14" s="30">
        <f>Inputs!B28</f>
        <v>0.4</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20"/>
  <sheetViews>
    <sheetView workbookViewId="0"/>
  </sheetViews>
  <sheetFormatPr defaultRowHeight="12.75" customHeight="1" x14ac:dyDescent="0.2"/>
  <cols>
    <col min="1" max="1" width="22.7109375" customWidth="1"/>
    <col min="2" max="13" width="9.7109375" customWidth="1"/>
    <col min="14" max="14" width="10.5703125" customWidth="1"/>
    <col min="15" max="26" width="9.7109375" customWidth="1"/>
    <col min="27" max="27" width="10.5703125" customWidth="1"/>
    <col min="28" max="39" width="9.7109375" customWidth="1"/>
    <col min="40" max="40" width="10.5703125" customWidth="1"/>
    <col min="41" max="52" width="9.7109375" customWidth="1"/>
    <col min="53" max="53" width="10.5703125" customWidth="1"/>
    <col min="54" max="65" width="9.7109375" customWidth="1"/>
    <col min="66" max="66" width="10.5703125" customWidth="1"/>
    <col min="67" max="78" width="9.7109375" customWidth="1"/>
    <col min="79" max="79" width="10.5703125" customWidth="1"/>
    <col min="80" max="91" width="9.7109375" customWidth="1"/>
    <col min="92" max="92" width="10.5703125" customWidth="1"/>
    <col min="93" max="104" width="9.7109375" customWidth="1"/>
    <col min="105" max="105" width="10.5703125" customWidth="1"/>
    <col min="106" max="117" width="9.7109375" customWidth="1"/>
    <col min="118" max="118" width="10.5703125" customWidth="1"/>
    <col min="119" max="130" width="9.7109375" customWidth="1"/>
    <col min="131" max="131" width="10.5703125" customWidth="1"/>
    <col min="132" max="143" width="9.7109375" customWidth="1"/>
    <col min="144" max="144" width="10.570312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"Income"</f>
        <v>Income</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Labels!B16</f>
        <v>Consumption</v>
      </c>
      <c r="B7" s="22">
        <f>Demand!B15</f>
        <v>728000</v>
      </c>
      <c r="C7" s="22">
        <f ca="1">Demand!C15</f>
        <v>728037.29786648613</v>
      </c>
      <c r="D7" s="22">
        <f ca="1">Demand!D15</f>
        <v>728056.14826905227</v>
      </c>
      <c r="E7" s="22">
        <f ca="1">Demand!E15</f>
        <v>728104.27679268376</v>
      </c>
      <c r="F7" s="22">
        <f ca="1">Demand!F15</f>
        <v>728083.867468599</v>
      </c>
      <c r="G7" s="22">
        <f ca="1">Demand!G15</f>
        <v>728163.00742718275</v>
      </c>
      <c r="H7" s="22">
        <f ca="1">Demand!H15</f>
        <v>728204.11891653342</v>
      </c>
      <c r="I7" s="22">
        <f ca="1">Demand!I15</f>
        <v>728285.10302619811</v>
      </c>
      <c r="J7" s="22">
        <f ca="1">Demand!J15</f>
        <v>728261.80456213723</v>
      </c>
      <c r="K7" s="22">
        <f ca="1">Demand!K15</f>
        <v>728284.97796363244</v>
      </c>
      <c r="L7" s="22">
        <f ca="1">Demand!L15</f>
        <v>728317.20933972311</v>
      </c>
      <c r="M7" s="22">
        <f ca="1">Demand!M15</f>
        <v>728315.26061949763</v>
      </c>
      <c r="N7" s="23">
        <f ca="1">SUM(Demand!B15:M15)</f>
        <v>8738113.0722517259</v>
      </c>
      <c r="O7" s="22">
        <f ca="1">Demand!O15</f>
        <v>728265.98572606919</v>
      </c>
      <c r="P7" s="22">
        <f ca="1">Demand!P15</f>
        <v>728260.11851221242</v>
      </c>
      <c r="Q7" s="22">
        <f ca="1">Demand!Q15</f>
        <v>728209.50624857622</v>
      </c>
      <c r="R7" s="22">
        <f ca="1">Demand!R15</f>
        <v>728195.65536847257</v>
      </c>
      <c r="S7" s="22">
        <f ca="1">Demand!S15</f>
        <v>728195.77275938448</v>
      </c>
      <c r="T7" s="22">
        <f ca="1">Demand!T15</f>
        <v>728231.66610992583</v>
      </c>
      <c r="U7" s="22">
        <f ca="1">Demand!U15</f>
        <v>728195.2507504496</v>
      </c>
      <c r="V7" s="22">
        <f ca="1">Demand!V15</f>
        <v>728213.71605909511</v>
      </c>
      <c r="W7" s="22">
        <f ca="1">Demand!W15</f>
        <v>728239.26893140248</v>
      </c>
      <c r="X7" s="22">
        <f ca="1">Demand!X15</f>
        <v>728211.77406678477</v>
      </c>
      <c r="Y7" s="22">
        <f ca="1">Demand!Y15</f>
        <v>728193.71261201333</v>
      </c>
      <c r="Z7" s="22">
        <f ca="1">Demand!Z15</f>
        <v>728170.25783932488</v>
      </c>
      <c r="AA7" s="23">
        <f ca="1">SUM(Demand!O15:Z15)</f>
        <v>8738582.6849837117</v>
      </c>
      <c r="AB7" s="22">
        <f ca="1">Demand!AB15</f>
        <v>728162.32555863832</v>
      </c>
      <c r="AC7" s="22">
        <f ca="1">Demand!AC15</f>
        <v>728120.99907298072</v>
      </c>
      <c r="AD7" s="22">
        <f ca="1">Demand!AD15</f>
        <v>728155.27192836767</v>
      </c>
      <c r="AE7" s="22">
        <f ca="1">Demand!AE15</f>
        <v>728249.32635996188</v>
      </c>
      <c r="AF7" s="22">
        <f ca="1">Demand!AF15</f>
        <v>728241.90403256298</v>
      </c>
      <c r="AG7" s="22">
        <f ca="1">Demand!AG15</f>
        <v>728186.64945713978</v>
      </c>
      <c r="AH7" s="22">
        <f ca="1">Demand!AH15</f>
        <v>728137.39026907156</v>
      </c>
      <c r="AI7" s="22">
        <f ca="1">Demand!AI15</f>
        <v>728171.58779593359</v>
      </c>
      <c r="AJ7" s="22">
        <f ca="1">Demand!AJ15</f>
        <v>728131.31334441609</v>
      </c>
      <c r="AK7" s="22">
        <f ca="1">Demand!AK15</f>
        <v>728047.97413647303</v>
      </c>
      <c r="AL7" s="22">
        <f ca="1">Demand!AL15</f>
        <v>728096.55213402014</v>
      </c>
      <c r="AM7" s="22">
        <f ca="1">Demand!AM15</f>
        <v>728123.80390661489</v>
      </c>
      <c r="AN7" s="23">
        <f ca="1">SUM(Demand!AB15:AM15)</f>
        <v>8737825.0979961809</v>
      </c>
      <c r="AO7" s="22">
        <f ca="1">Demand!AO15</f>
        <v>728145.62887391599</v>
      </c>
      <c r="AP7" s="22">
        <f ca="1">Demand!AP15</f>
        <v>728161.86351524119</v>
      </c>
      <c r="AQ7" s="22">
        <f ca="1">Demand!AQ15</f>
        <v>728224.68687921134</v>
      </c>
      <c r="AR7" s="22">
        <f ca="1">Demand!AR15</f>
        <v>728243.68182679417</v>
      </c>
      <c r="AS7" s="22">
        <f ca="1">Demand!AS15</f>
        <v>728206.55728586565</v>
      </c>
      <c r="AT7" s="22">
        <f ca="1">Demand!AT15</f>
        <v>728187.71371715004</v>
      </c>
      <c r="AU7" s="22">
        <f ca="1">Demand!AU15</f>
        <v>728262.02841373626</v>
      </c>
      <c r="AV7" s="22">
        <f ca="1">Demand!AV15</f>
        <v>728243.87182571203</v>
      </c>
      <c r="AW7" s="22">
        <f ca="1">Demand!AW15</f>
        <v>728188.48415542138</v>
      </c>
      <c r="AX7" s="22">
        <f ca="1">Demand!AX15</f>
        <v>728117.63131669781</v>
      </c>
      <c r="AY7" s="22">
        <f ca="1">Demand!AY15</f>
        <v>728163.36163095839</v>
      </c>
      <c r="AZ7" s="22">
        <f ca="1">Demand!AZ15</f>
        <v>728152.86462899065</v>
      </c>
      <c r="BA7" s="23">
        <f ca="1">SUM(Demand!AO15:AZ15)</f>
        <v>8738298.3740696944</v>
      </c>
      <c r="BB7" s="22">
        <f ca="1">Demand!BB15</f>
        <v>728151.06680543197</v>
      </c>
      <c r="BC7" s="22">
        <f ca="1">Demand!BC15</f>
        <v>728151.22429893247</v>
      </c>
      <c r="BD7" s="22">
        <f ca="1">Demand!BD15</f>
        <v>728175.42490001384</v>
      </c>
      <c r="BE7" s="22">
        <f ca="1">Demand!BE15</f>
        <v>728217.68717621884</v>
      </c>
      <c r="BF7" s="22">
        <f ca="1">Demand!BF15</f>
        <v>728207.51906397077</v>
      </c>
      <c r="BG7" s="22">
        <f ca="1">Demand!BG15</f>
        <v>728287.75617404992</v>
      </c>
      <c r="BH7" s="22">
        <f ca="1">Demand!BH15</f>
        <v>728263.95714859001</v>
      </c>
      <c r="BI7" s="22">
        <f ca="1">Demand!BI15</f>
        <v>728243.42129995138</v>
      </c>
      <c r="BJ7" s="22">
        <f ca="1">Demand!BJ15</f>
        <v>728199.69649597467</v>
      </c>
      <c r="BK7" s="22">
        <f ca="1">Demand!BK15</f>
        <v>728177.71478895238</v>
      </c>
      <c r="BL7" s="22">
        <f ca="1">Demand!BL15</f>
        <v>728211.30087003787</v>
      </c>
      <c r="BM7" s="22">
        <f ca="1">Demand!BM15</f>
        <v>728257.95934273454</v>
      </c>
      <c r="BN7" s="23">
        <f ca="1">SUM(Demand!BB15:BM15)</f>
        <v>8738544.7283648569</v>
      </c>
      <c r="BO7" s="22">
        <f ca="1">Demand!BO15</f>
        <v>728261.92349317274</v>
      </c>
      <c r="BP7" s="22">
        <f ca="1">Demand!BP15</f>
        <v>728254.36170338502</v>
      </c>
      <c r="BQ7" s="22">
        <f ca="1">Demand!BQ15</f>
        <v>728205.79862436163</v>
      </c>
      <c r="BR7" s="22">
        <f ca="1">Demand!BR15</f>
        <v>728221.48719231086</v>
      </c>
      <c r="BS7" s="22">
        <f ca="1">Demand!BS15</f>
        <v>728170.51836972451</v>
      </c>
      <c r="BT7" s="22">
        <f ca="1">Demand!BT15</f>
        <v>728234.37451534299</v>
      </c>
      <c r="BU7" s="22">
        <f ca="1">Demand!BU15</f>
        <v>728229.71816097281</v>
      </c>
      <c r="BV7" s="22">
        <f ca="1">Demand!BV15</f>
        <v>728202.78996985452</v>
      </c>
      <c r="BW7" s="22">
        <f ca="1">Demand!BW15</f>
        <v>728186.67242465005</v>
      </c>
      <c r="BX7" s="22">
        <f ca="1">Demand!BX15</f>
        <v>728207.07899072114</v>
      </c>
      <c r="BY7" s="22">
        <f ca="1">Demand!BY15</f>
        <v>728196.94574725698</v>
      </c>
      <c r="BZ7" s="22">
        <f ca="1">Demand!BZ15</f>
        <v>728286.33055021975</v>
      </c>
      <c r="CA7" s="23">
        <f ca="1">SUM(Demand!BO15:BZ15)</f>
        <v>8738657.9997419734</v>
      </c>
      <c r="CB7" s="22">
        <f ca="1">Demand!CB15</f>
        <v>728363.0511366314</v>
      </c>
      <c r="CC7" s="22">
        <f ca="1">Demand!CC15</f>
        <v>728317.31660532334</v>
      </c>
      <c r="CD7" s="22">
        <f ca="1">Demand!CD15</f>
        <v>728339.84039702616</v>
      </c>
      <c r="CE7" s="22">
        <f ca="1">Demand!CE15</f>
        <v>728355.35297330027</v>
      </c>
      <c r="CF7" s="22">
        <f ca="1">Demand!CF15</f>
        <v>728408.65269345976</v>
      </c>
      <c r="CG7" s="22">
        <f ca="1">Demand!CG15</f>
        <v>728436.98841622949</v>
      </c>
      <c r="CH7" s="22">
        <f ca="1">Demand!CH15</f>
        <v>728426.72350980586</v>
      </c>
      <c r="CI7" s="22">
        <f ca="1">Demand!CI15</f>
        <v>728379.97868867381</v>
      </c>
      <c r="CJ7" s="22">
        <f ca="1">Demand!CJ15</f>
        <v>728328.58088694245</v>
      </c>
      <c r="CK7" s="22">
        <f ca="1">Demand!CK15</f>
        <v>728328.46190086473</v>
      </c>
      <c r="CL7" s="22">
        <f ca="1">Demand!CL15</f>
        <v>728381.05355829361</v>
      </c>
      <c r="CM7" s="22">
        <f ca="1">Demand!CM15</f>
        <v>728402.10733589588</v>
      </c>
      <c r="CN7" s="23">
        <f ca="1">SUM(Demand!CB15:CM15)</f>
        <v>8740468.1081024464</v>
      </c>
      <c r="CO7" s="22">
        <f ca="1">Demand!CO15</f>
        <v>728487.22157448332</v>
      </c>
      <c r="CP7" s="22">
        <f ca="1">Demand!CP15</f>
        <v>728443.23202610598</v>
      </c>
      <c r="CQ7" s="22">
        <f ca="1">Demand!CQ15</f>
        <v>728378.27998785768</v>
      </c>
      <c r="CR7" s="22">
        <f ca="1">Demand!CR15</f>
        <v>728406.1153642307</v>
      </c>
      <c r="CS7" s="22">
        <f ca="1">Demand!CS15</f>
        <v>728452.07065705594</v>
      </c>
      <c r="CT7" s="22">
        <f ca="1">Demand!CT15</f>
        <v>728468.78577733436</v>
      </c>
      <c r="CU7" s="22">
        <f ca="1">Demand!CU15</f>
        <v>728505.14066061145</v>
      </c>
      <c r="CV7" s="22">
        <f ca="1">Demand!CV15</f>
        <v>728451.25864910148</v>
      </c>
      <c r="CW7" s="22">
        <f ca="1">Demand!CW15</f>
        <v>728367.83729504934</v>
      </c>
      <c r="CX7" s="22">
        <f ca="1">Demand!CX15</f>
        <v>728310.30577593576</v>
      </c>
      <c r="CY7" s="22">
        <f ca="1">Demand!CY15</f>
        <v>728262.83271159802</v>
      </c>
      <c r="CZ7" s="22">
        <f ca="1">Demand!CZ15</f>
        <v>728243.10477453121</v>
      </c>
      <c r="DA7" s="23">
        <f ca="1">SUM(Demand!CO15:CZ15)</f>
        <v>8740776.1852538958</v>
      </c>
      <c r="DB7" s="22">
        <f ca="1">Demand!DB15</f>
        <v>728225.40798548039</v>
      </c>
      <c r="DC7" s="22">
        <f ca="1">Demand!DC15</f>
        <v>728262.91746541986</v>
      </c>
      <c r="DD7" s="22">
        <f ca="1">Demand!DD15</f>
        <v>728273.49386638624</v>
      </c>
      <c r="DE7" s="22">
        <f ca="1">Demand!DE15</f>
        <v>728254.39767716487</v>
      </c>
      <c r="DF7" s="22">
        <f ca="1">Demand!DF15</f>
        <v>728269.28238947899</v>
      </c>
      <c r="DG7" s="22">
        <f ca="1">Demand!DG15</f>
        <v>728214.40392443223</v>
      </c>
      <c r="DH7" s="22">
        <f ca="1">Demand!DH15</f>
        <v>728222.99145653297</v>
      </c>
      <c r="DI7" s="22">
        <f ca="1">Demand!DI15</f>
        <v>728222.55532215512</v>
      </c>
      <c r="DJ7" s="22">
        <f ca="1">Demand!DJ15</f>
        <v>728144.03177754558</v>
      </c>
      <c r="DK7" s="22">
        <f ca="1">Demand!DK15</f>
        <v>728139.05447688117</v>
      </c>
      <c r="DL7" s="22">
        <f ca="1">Demand!DL15</f>
        <v>728179.10352957738</v>
      </c>
      <c r="DM7" s="22">
        <f ca="1">Demand!DM15</f>
        <v>728237.67028366402</v>
      </c>
      <c r="DN7" s="23">
        <f ca="1">SUM(Demand!DB15:DM15)</f>
        <v>8738645.3101547193</v>
      </c>
      <c r="DO7" s="22">
        <f ca="1">Demand!DO15</f>
        <v>728241.40768880339</v>
      </c>
      <c r="DP7" s="22">
        <f ca="1">Demand!DP15</f>
        <v>728235.23069363041</v>
      </c>
      <c r="DQ7" s="22">
        <f ca="1">Demand!DQ15</f>
        <v>728256.041462422</v>
      </c>
      <c r="DR7" s="22">
        <f ca="1">Demand!DR15</f>
        <v>728188.73829784326</v>
      </c>
      <c r="DS7" s="22">
        <f ca="1">Demand!DS15</f>
        <v>728148.23815791321</v>
      </c>
      <c r="DT7" s="22">
        <f ca="1">Demand!DT15</f>
        <v>728164.07233329199</v>
      </c>
      <c r="DU7" s="22">
        <f ca="1">Demand!DU15</f>
        <v>728171.1542775844</v>
      </c>
      <c r="DV7" s="22">
        <f ca="1">Demand!DV15</f>
        <v>728083.6760110571</v>
      </c>
      <c r="DW7" s="22">
        <f ca="1">Demand!DW15</f>
        <v>728125.34983137459</v>
      </c>
      <c r="DX7" s="22">
        <f ca="1">Demand!DX15</f>
        <v>728112.20779825293</v>
      </c>
      <c r="DY7" s="22">
        <f ca="1">Demand!DY15</f>
        <v>728037.16725024092</v>
      </c>
      <c r="DZ7" s="22">
        <f ca="1">Demand!DZ15</f>
        <v>728116.89567602798</v>
      </c>
      <c r="EA7" s="23">
        <f ca="1">SUM(Demand!DO15:DZ15)</f>
        <v>8737880.1794784423</v>
      </c>
      <c r="EB7" s="22">
        <f ca="1">Demand!EB15</f>
        <v>728133.49954070302</v>
      </c>
      <c r="EC7" s="22">
        <f ca="1">Demand!EC15</f>
        <v>728152.28287796292</v>
      </c>
      <c r="ED7" s="22">
        <f ca="1">Demand!ED15</f>
        <v>728175.45705948293</v>
      </c>
      <c r="EE7" s="22">
        <f ca="1">Demand!EE15</f>
        <v>728135.85318270698</v>
      </c>
      <c r="EF7" s="22">
        <f ca="1">Demand!EF15</f>
        <v>728078.92199583258</v>
      </c>
      <c r="EG7" s="22">
        <f ca="1">Demand!EG15</f>
        <v>728122.4540337146</v>
      </c>
      <c r="EH7" s="22">
        <f ca="1">Demand!EH15</f>
        <v>728123.88455620827</v>
      </c>
      <c r="EI7" s="22">
        <f ca="1">Demand!EI15</f>
        <v>728143.73655557493</v>
      </c>
      <c r="EJ7" s="22">
        <f ca="1">Demand!EJ15</f>
        <v>728205.5183888512</v>
      </c>
      <c r="EK7" s="22">
        <f ca="1">Demand!EK15</f>
        <v>728159.5941933085</v>
      </c>
      <c r="EL7" s="22">
        <f ca="1">Demand!EL15</f>
        <v>728156.54897516919</v>
      </c>
      <c r="EM7" s="22">
        <f ca="1">Demand!EM15</f>
        <v>728210.03286267596</v>
      </c>
      <c r="EN7" s="23">
        <f ca="1">SUM(Demand!EB15:EM15)</f>
        <v>8737797.7842221912</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11" t="str">
        <f>Labels!B33</f>
        <v>Current Disposable Income</v>
      </c>
      <c r="B9" s="25">
        <f ca="1">Output!B7-Gov!B11+Demand!B19</f>
        <v>950547.73324998212</v>
      </c>
      <c r="C9" s="25">
        <f ca="1">Output!C7-Gov!C11+Demand!C19</f>
        <v>942081.33691061195</v>
      </c>
      <c r="D9" s="25">
        <f ca="1">Output!D7-Gov!D11+Demand!D19</f>
        <v>955618.48304665787</v>
      </c>
      <c r="E9" s="25">
        <f ca="1">Output!E7-Gov!E11+Demand!E19</f>
        <v>924047.33348994213</v>
      </c>
      <c r="F9" s="25">
        <f ca="1">Output!F7-Gov!F11+Demand!F19</f>
        <v>969966.99045992643</v>
      </c>
      <c r="G9" s="25">
        <f ca="1">Output!G7-Gov!G11+Demand!G19</f>
        <v>952516.85076082824</v>
      </c>
      <c r="H9" s="25">
        <f ca="1">Output!H7-Gov!H11+Demand!H19</f>
        <v>970972.30563565157</v>
      </c>
      <c r="I9" s="25">
        <f ca="1">Output!I7-Gov!I11+Demand!I19</f>
        <v>922945.71277470211</v>
      </c>
      <c r="J9" s="25">
        <f ca="1">Output!J7-Gov!J11+Demand!J19</f>
        <v>944364.39628263679</v>
      </c>
      <c r="K9" s="25">
        <f ca="1">Output!K7-Gov!K11+Demand!K19</f>
        <v>948574.70943111274</v>
      </c>
      <c r="L9" s="25">
        <f ca="1">Output!L7-Gov!L11+Demand!L19</f>
        <v>932840.60263914033</v>
      </c>
      <c r="M9" s="25">
        <f ca="1">Output!M7-Gov!M11+Demand!M19</f>
        <v>910995.25510932296</v>
      </c>
      <c r="N9" s="26">
        <f ca="1">SUM(B9:M9)</f>
        <v>11325471.709790517</v>
      </c>
      <c r="O9" s="25">
        <f ca="1">Output!O7-Gov!O11+Demand!O19</f>
        <v>930966.39581747516</v>
      </c>
      <c r="P9" s="25">
        <f ca="1">Output!P7-Gov!P11+Demand!P19</f>
        <v>910307.3123117697</v>
      </c>
      <c r="Q9" s="25">
        <f ca="1">Output!Q7-Gov!Q11+Demand!Q19</f>
        <v>927209.21719393134</v>
      </c>
      <c r="R9" s="25">
        <f ca="1">Output!R7-Gov!R11+Demand!R19</f>
        <v>933638.35397023708</v>
      </c>
      <c r="S9" s="25">
        <f ca="1">Output!S7-Gov!S11+Demand!S19</f>
        <v>950150.48583876621</v>
      </c>
      <c r="T9" s="25">
        <f ca="1">Output!T7-Gov!T11+Demand!T19</f>
        <v>916823.25217755535</v>
      </c>
      <c r="U9" s="25">
        <f ca="1">Output!U7-Gov!U11+Demand!U19</f>
        <v>942106.10495238774</v>
      </c>
      <c r="V9" s="25">
        <f ca="1">Output!V7-Gov!V11+Demand!V19</f>
        <v>945400.96165352315</v>
      </c>
      <c r="W9" s="25">
        <f ca="1">Output!W7-Gov!W11+Demand!W19</f>
        <v>920950.15085769957</v>
      </c>
      <c r="X9" s="25">
        <f ca="1">Output!X7-Gov!X11+Demand!X19</f>
        <v>925268.78249878227</v>
      </c>
      <c r="Y9" s="25">
        <f ca="1">Output!Y7-Gov!Y11+Demand!Y19</f>
        <v>922756.40313358745</v>
      </c>
      <c r="Z9" s="25">
        <f ca="1">Output!Z7-Gov!Z11+Demand!Z19</f>
        <v>929890.55998995528</v>
      </c>
      <c r="AA9" s="26">
        <f ca="1">SUM(O9:Z9)</f>
        <v>11155467.980395671</v>
      </c>
      <c r="AB9" s="25">
        <f ca="1">Output!AB7-Gov!AB11+Demand!AB19</f>
        <v>914467.68041267991</v>
      </c>
      <c r="AC9" s="25">
        <f ca="1">Output!AC7-Gov!AC11+Demand!AC19</f>
        <v>949306.70129775745</v>
      </c>
      <c r="AD9" s="25">
        <f ca="1">Output!AD7-Gov!AD11+Demand!AD19</f>
        <v>976942.13756705564</v>
      </c>
      <c r="AE9" s="25">
        <f ca="1">Output!AE7-Gov!AE11+Demand!AE19</f>
        <v>930227.29294403526</v>
      </c>
      <c r="AF9" s="25">
        <f ca="1">Output!AF7-Gov!AF11+Demand!AF19</f>
        <v>908141.35497466801</v>
      </c>
      <c r="AG9" s="25">
        <f ca="1">Output!AG7-Gov!AG11+Demand!AG19</f>
        <v>910837.61763149127</v>
      </c>
      <c r="AH9" s="25">
        <f ca="1">Output!AH7-Gov!AH11+Demand!AH19</f>
        <v>949292.94864025712</v>
      </c>
      <c r="AI9" s="25">
        <f ca="1">Output!AI7-Gov!AI11+Demand!AI19</f>
        <v>914965.10929440171</v>
      </c>
      <c r="AJ9" s="25">
        <f ca="1">Output!AJ7-Gov!AJ11+Demand!AJ19</f>
        <v>895037.43395506591</v>
      </c>
      <c r="AK9" s="25">
        <f ca="1">Output!AK7-Gov!AK11+Demand!AK19</f>
        <v>955815.45288899541</v>
      </c>
      <c r="AL9" s="25">
        <f ca="1">Output!AL7-Gov!AL11+Demand!AL19</f>
        <v>946034.85931808618</v>
      </c>
      <c r="AM9" s="25">
        <f ca="1">Output!AM7-Gov!AM11+Demand!AM19</f>
        <v>943565.11812180094</v>
      </c>
      <c r="AN9" s="26">
        <f ca="1">SUM(AB9:AM9)</f>
        <v>11194633.707046295</v>
      </c>
      <c r="AO9" s="25">
        <f ca="1">Output!AO7-Gov!AO11+Demand!AO19</f>
        <v>941012.94839869719</v>
      </c>
      <c r="AP9" s="25">
        <f ca="1">Output!AP7-Gov!AP11+Demand!AP19</f>
        <v>962536.24941599555</v>
      </c>
      <c r="AQ9" s="25">
        <f ca="1">Output!AQ7-Gov!AQ11+Demand!AQ19</f>
        <v>942388.29231927381</v>
      </c>
      <c r="AR9" s="25">
        <f ca="1">Output!AR7-Gov!AR11+Demand!AR19</f>
        <v>916511.34242631122</v>
      </c>
      <c r="AS9" s="25">
        <f ca="1">Output!AS7-Gov!AS11+Demand!AS19</f>
        <v>924901.11865160125</v>
      </c>
      <c r="AT9" s="25">
        <f ca="1">Output!AT7-Gov!AT11+Demand!AT19</f>
        <v>967873.08267717366</v>
      </c>
      <c r="AU9" s="25">
        <f ca="1">Output!AU7-Gov!AU11+Demand!AU19</f>
        <v>925289.30349358334</v>
      </c>
      <c r="AV9" s="25">
        <f ca="1">Output!AV7-Gov!AV11+Demand!AV19</f>
        <v>908082.4493860167</v>
      </c>
      <c r="AW9" s="25">
        <f ca="1">Output!AW7-Gov!AW11+Demand!AW19</f>
        <v>900873.66950631654</v>
      </c>
      <c r="AX9" s="25">
        <f ca="1">Output!AX7-Gov!AX11+Demand!AX19</f>
        <v>954590.44160320773</v>
      </c>
      <c r="AY9" s="25">
        <f ca="1">Output!AY7-Gov!AY11+Demand!AY19</f>
        <v>928698.00118278363</v>
      </c>
      <c r="AZ9" s="25">
        <f ca="1">Output!AZ7-Gov!AZ11+Demand!AZ19</f>
        <v>932699.54890752328</v>
      </c>
      <c r="BA9" s="26">
        <f ca="1">SUM(AO9:AZ9)</f>
        <v>11205456.447968485</v>
      </c>
      <c r="BB9" s="25">
        <f ca="1">Output!BB7-Gov!BB11+Demand!BB19</f>
        <v>933599.6980328511</v>
      </c>
      <c r="BC9" s="25">
        <f ca="1">Output!BC7-Gov!BC11+Demand!BC19</f>
        <v>944696.71883104229</v>
      </c>
      <c r="BD9" s="25">
        <f ca="1">Output!BD7-Gov!BD11+Demand!BD19</f>
        <v>953063.90299207973</v>
      </c>
      <c r="BE9" s="25">
        <f ca="1">Output!BE7-Gov!BE11+Demand!BE19</f>
        <v>928919.44457296468</v>
      </c>
      <c r="BF9" s="25">
        <f ca="1">Output!BF7-Gov!BF11+Demand!BF19</f>
        <v>970631.89575956832</v>
      </c>
      <c r="BG9" s="25">
        <f ca="1">Output!BG7-Gov!BG11+Demand!BG19</f>
        <v>922718.0859083354</v>
      </c>
      <c r="BH9" s="25">
        <f ca="1">Output!BH7-Gov!BH11+Demand!BH19</f>
        <v>924193.65594704985</v>
      </c>
      <c r="BI9" s="25">
        <f ca="1">Output!BI7-Gov!BI11+Demand!BI19</f>
        <v>913464.73316451744</v>
      </c>
      <c r="BJ9" s="25">
        <f ca="1">Output!BJ7-Gov!BJ11+Demand!BJ19</f>
        <v>923443.95124101732</v>
      </c>
      <c r="BK9" s="25">
        <f ca="1">Output!BK7-Gov!BK11+Demand!BK19</f>
        <v>949062.44099965622</v>
      </c>
      <c r="BL9" s="25">
        <f ca="1">Output!BL7-Gov!BL11+Demand!BL19</f>
        <v>955138.91159076756</v>
      </c>
      <c r="BM9" s="25">
        <f ca="1">Output!BM7-Gov!BM11+Demand!BM19</f>
        <v>935493.65833397489</v>
      </c>
      <c r="BN9" s="26">
        <f ca="1">SUM(BB9:BM9)</f>
        <v>11254427.097373825</v>
      </c>
      <c r="BO9" s="25">
        <f ca="1">Output!BO7-Gov!BO11+Demand!BO19</f>
        <v>930179.07585846772</v>
      </c>
      <c r="BP9" s="25">
        <f ca="1">Output!BP7-Gov!BP11+Demand!BP19</f>
        <v>911245.70930120628</v>
      </c>
      <c r="BQ9" s="25">
        <f ca="1">Output!BQ7-Gov!BQ11+Demand!BQ19</f>
        <v>940838.05523861293</v>
      </c>
      <c r="BR9" s="25">
        <f ca="1">Output!BR7-Gov!BR11+Demand!BR19</f>
        <v>910093.21930924221</v>
      </c>
      <c r="BS9" s="25">
        <f ca="1">Output!BS7-Gov!BS11+Demand!BS19</f>
        <v>963024.01383635029</v>
      </c>
      <c r="BT9" s="25">
        <f ca="1">Output!BT7-Gov!BT11+Demand!BT19</f>
        <v>931484.7268488484</v>
      </c>
      <c r="BU9" s="25">
        <f ca="1">Output!BU7-Gov!BU11+Demand!BU19</f>
        <v>921199.44789534737</v>
      </c>
      <c r="BV9" s="25">
        <f ca="1">Output!BV7-Gov!BV11+Demand!BV19</f>
        <v>926154.45345676923</v>
      </c>
      <c r="BW9" s="25">
        <f ca="1">Output!BW7-Gov!BW11+Demand!BW19</f>
        <v>942991.07206442975</v>
      </c>
      <c r="BX9" s="25">
        <f ca="1">Output!BX7-Gov!BX11+Demand!BX19</f>
        <v>928921.93762004352</v>
      </c>
      <c r="BY9" s="25">
        <f ca="1">Output!BY7-Gov!BY11+Demand!BY19</f>
        <v>974840.35232542781</v>
      </c>
      <c r="BZ9" s="25">
        <f ca="1">Output!BZ7-Gov!BZ11+Demand!BZ19</f>
        <v>969109.92520309077</v>
      </c>
      <c r="CA9" s="26">
        <f ca="1">SUM(BO9:BZ9)</f>
        <v>11250081.988957835</v>
      </c>
      <c r="CB9" s="25">
        <f ca="1">Output!CB7-Gov!CB11+Demand!CB19</f>
        <v>912690.53828945523</v>
      </c>
      <c r="CC9" s="25">
        <f ca="1">Output!CC7-Gov!CC11+Demand!CC19</f>
        <v>944135.74566452228</v>
      </c>
      <c r="CD9" s="25">
        <f ca="1">Output!CD7-Gov!CD11+Demand!CD19</f>
        <v>940928.67673804122</v>
      </c>
      <c r="CE9" s="25">
        <f ca="1">Output!CE7-Gov!CE11+Demand!CE19</f>
        <v>958388.78491120227</v>
      </c>
      <c r="CF9" s="25">
        <f ca="1">Output!CF7-Gov!CF11+Demand!CF19</f>
        <v>946935.27293666336</v>
      </c>
      <c r="CG9" s="25">
        <f ca="1">Output!CG7-Gov!CG11+Demand!CG19</f>
        <v>929155.92577395705</v>
      </c>
      <c r="CH9" s="25">
        <f ca="1">Output!CH7-Gov!CH11+Demand!CH19</f>
        <v>912305.88192601036</v>
      </c>
      <c r="CI9" s="25">
        <f ca="1">Output!CI7-Gov!CI11+Demand!CI19</f>
        <v>910098.423160746</v>
      </c>
      <c r="CJ9" s="25">
        <f ca="1">Output!CJ7-Gov!CJ11+Demand!CJ19</f>
        <v>933699.67422943562</v>
      </c>
      <c r="CK9" s="25">
        <f ca="1">Output!CK7-Gov!CK11+Demand!CK19</f>
        <v>958027.5109939652</v>
      </c>
      <c r="CL9" s="25">
        <f ca="1">Output!CL7-Gov!CL11+Demand!CL19</f>
        <v>943538.99166040239</v>
      </c>
      <c r="CM9" s="25">
        <f ca="1">Output!CM7-Gov!CM11+Demand!CM19</f>
        <v>973132.35029150127</v>
      </c>
      <c r="CN9" s="26">
        <f ca="1">SUM(CB9:CM9)</f>
        <v>11263037.776575902</v>
      </c>
      <c r="CO9" s="25">
        <f ca="1">Output!CO7-Gov!CO11+Demand!CO19</f>
        <v>913655.10789570678</v>
      </c>
      <c r="CP9" s="25">
        <f ca="1">Output!CP7-Gov!CP11+Demand!CP19</f>
        <v>903923.71571370703</v>
      </c>
      <c r="CQ9" s="25">
        <f ca="1">Output!CQ7-Gov!CQ11+Demand!CQ19</f>
        <v>946665.40446429304</v>
      </c>
      <c r="CR9" s="25">
        <f ca="1">Output!CR7-Gov!CR11+Demand!CR19</f>
        <v>955064.12920685136</v>
      </c>
      <c r="CS9" s="25">
        <f ca="1">Output!CS7-Gov!CS11+Demand!CS19</f>
        <v>941627.58199649537</v>
      </c>
      <c r="CT9" s="25">
        <f ca="1">Output!CT7-Gov!CT11+Demand!CT19</f>
        <v>950713.51763729379</v>
      </c>
      <c r="CU9" s="25">
        <f ca="1">Output!CU7-Gov!CU11+Demand!CU19</f>
        <v>909112.32886802079</v>
      </c>
      <c r="CV9" s="25">
        <f ca="1">Output!CV7-Gov!CV11+Demand!CV19</f>
        <v>895409.7066542278</v>
      </c>
      <c r="CW9" s="25">
        <f ca="1">Output!CW7-Gov!CW11+Demand!CW19</f>
        <v>907251.91078738216</v>
      </c>
      <c r="CX9" s="25">
        <f ca="1">Output!CX7-Gov!CX11+Demand!CX19</f>
        <v>911820.51617223327</v>
      </c>
      <c r="CY9" s="25">
        <f ca="1">Output!CY7-Gov!CY11+Demand!CY19</f>
        <v>924565.09662505658</v>
      </c>
      <c r="CZ9" s="25">
        <f ca="1">Output!CZ7-Gov!CZ11+Demand!CZ19</f>
        <v>925477.25732854498</v>
      </c>
      <c r="DA9" s="26">
        <f ca="1">SUM(CO9:CZ9)</f>
        <v>11085286.273349812</v>
      </c>
      <c r="DB9" s="25">
        <f ca="1">Output!DB7-Gov!DB11+Demand!DB19</f>
        <v>950934.38559445296</v>
      </c>
      <c r="DC9" s="25">
        <f ca="1">Output!DC7-Gov!DC11+Demand!DC19</f>
        <v>938551.82283755625</v>
      </c>
      <c r="DD9" s="25">
        <f ca="1">Output!DD7-Gov!DD11+Demand!DD19</f>
        <v>924870.34070091997</v>
      </c>
      <c r="DE9" s="25">
        <f ca="1">Output!DE7-Gov!DE11+Demand!DE19</f>
        <v>940529.35142339859</v>
      </c>
      <c r="DF9" s="25">
        <f ca="1">Output!DF7-Gov!DF11+Demand!DF19</f>
        <v>908350.04483667226</v>
      </c>
      <c r="DG9" s="25">
        <f ca="1">Output!DG7-Gov!DG11+Demand!DG19</f>
        <v>937571.68651373149</v>
      </c>
      <c r="DH9" s="25">
        <f ca="1">Output!DH7-Gov!DH11+Demand!DH19</f>
        <v>933417.9270262816</v>
      </c>
      <c r="DI9" s="25">
        <f ca="1">Output!DI7-Gov!DI11+Demand!DI19</f>
        <v>897377.0246958232</v>
      </c>
      <c r="DJ9" s="25">
        <f ca="1">Output!DJ7-Gov!DJ11+Demand!DJ19</f>
        <v>931220.77376712952</v>
      </c>
      <c r="DK9" s="25">
        <f ca="1">Output!DK7-Gov!DK11+Demand!DK19</f>
        <v>951995.78647113917</v>
      </c>
      <c r="DL9" s="25">
        <f ca="1">Output!DL7-Gov!DL11+Demand!DL19</f>
        <v>960593.76282150322</v>
      </c>
      <c r="DM9" s="25">
        <f ca="1">Output!DM7-Gov!DM11+Demand!DM19</f>
        <v>935362.99504342442</v>
      </c>
      <c r="DN9" s="26">
        <f ca="1">SUM(DB9:DM9)</f>
        <v>11210775.901732031</v>
      </c>
      <c r="DO9" s="25">
        <f ca="1">Output!DO7-Gov!DO11+Demand!DO19</f>
        <v>930791.90952120558</v>
      </c>
      <c r="DP9" s="25">
        <f ca="1">Output!DP7-Gov!DP11+Demand!DP19</f>
        <v>943239.88135716156</v>
      </c>
      <c r="DQ9" s="25">
        <f ca="1">Output!DQ7-Gov!DQ11+Demand!DQ19</f>
        <v>902598.59258211544</v>
      </c>
      <c r="DR9" s="25">
        <f ca="1">Output!DR7-Gov!DR11+Demand!DR19</f>
        <v>914882.93323465041</v>
      </c>
      <c r="DS9" s="25">
        <f ca="1">Output!DS7-Gov!DS11+Demand!DS19</f>
        <v>940831.46319777868</v>
      </c>
      <c r="DT9" s="25">
        <f ca="1">Output!DT7-Gov!DT11+Demand!DT19</f>
        <v>936812.27215202432</v>
      </c>
      <c r="DU9" s="25">
        <f ca="1">Output!DU7-Gov!DU11+Demand!DU19</f>
        <v>893178.1773432591</v>
      </c>
      <c r="DV9" s="25">
        <f ca="1">Output!DV7-Gov!DV11+Demand!DV19</f>
        <v>952674.68118634657</v>
      </c>
      <c r="DW9" s="25">
        <f ca="1">Output!DW7-Gov!DW11+Demand!DW19</f>
        <v>927428.48449686472</v>
      </c>
      <c r="DX9" s="25">
        <f ca="1">Output!DX7-Gov!DX11+Demand!DX19</f>
        <v>898843.09040249372</v>
      </c>
      <c r="DY9" s="25">
        <f ca="1">Output!DY7-Gov!DY11+Demand!DY19</f>
        <v>970178.71863278095</v>
      </c>
      <c r="DZ9" s="25">
        <f ca="1">Output!DZ7-Gov!DZ11+Demand!DZ19</f>
        <v>941146.5217423446</v>
      </c>
      <c r="EA9" s="26">
        <f ca="1">SUM(DO9:DZ9)</f>
        <v>11152606.725849025</v>
      </c>
      <c r="EB9" s="25">
        <f ca="1">Output!EB7-Gov!EB11+Demand!EB19</f>
        <v>942173.71917212498</v>
      </c>
      <c r="EC9" s="25">
        <f ca="1">Output!EC7-Gov!EC11+Demand!EC19</f>
        <v>944224.34387841448</v>
      </c>
      <c r="ED9" s="25">
        <f ca="1">Output!ED7-Gov!ED11+Demand!ED19</f>
        <v>915279.56592329149</v>
      </c>
      <c r="EE9" s="25">
        <f ca="1">Output!EE7-Gov!EE11+Demand!EE19</f>
        <v>907231.57167680212</v>
      </c>
      <c r="EF9" s="25">
        <f ca="1">Output!EF7-Gov!EF11+Demand!EF19</f>
        <v>953526.22517093131</v>
      </c>
      <c r="EG9" s="25">
        <f ca="1">Output!EG7-Gov!EG11+Demand!EG19</f>
        <v>934150.56683519576</v>
      </c>
      <c r="EH9" s="25">
        <f ca="1">Output!EH7-Gov!EH11+Demand!EH19</f>
        <v>942654.6209336021</v>
      </c>
      <c r="EI9" s="25">
        <f ca="1">Output!EI7-Gov!EI11+Demand!EI19</f>
        <v>962032.30325003294</v>
      </c>
      <c r="EJ9" s="25">
        <f ca="1">Output!EJ7-Gov!EJ11+Demand!EJ19</f>
        <v>912401.03588909796</v>
      </c>
      <c r="EK9" s="25">
        <f ca="1">Output!EK7-Gov!EK11+Demand!EK19</f>
        <v>932132.45597839938</v>
      </c>
      <c r="EL9" s="25">
        <f ca="1">Output!EL7-Gov!EL11+Demand!EL19</f>
        <v>958218.90830467129</v>
      </c>
      <c r="EM9" s="25">
        <f ca="1">Output!EM7-Gov!EM11+Demand!EM19</f>
        <v>956326.24729250371</v>
      </c>
      <c r="EN9" s="26">
        <f ca="1">SUM(EB9:EM9)</f>
        <v>11260351.564305069</v>
      </c>
    </row>
    <row r="10" spans="1:144" ht="12.75" customHeight="1" x14ac:dyDescent="0.2">
      <c r="A10" s="5"/>
      <c r="B10" s="24"/>
      <c r="C10" s="24"/>
      <c r="D10" s="24"/>
      <c r="E10" s="24"/>
      <c r="F10" s="24"/>
      <c r="G10" s="24"/>
      <c r="H10" s="24"/>
      <c r="I10" s="24"/>
      <c r="J10" s="24"/>
      <c r="K10" s="24"/>
      <c r="L10" s="24"/>
      <c r="M10" s="24"/>
      <c r="N10" s="5"/>
      <c r="O10" s="24"/>
      <c r="P10" s="24"/>
      <c r="Q10" s="24"/>
      <c r="R10" s="24"/>
      <c r="S10" s="24"/>
      <c r="T10" s="24"/>
      <c r="U10" s="24"/>
      <c r="V10" s="24"/>
      <c r="W10" s="24"/>
      <c r="X10" s="24"/>
      <c r="Y10" s="24"/>
      <c r="Z10" s="24"/>
      <c r="AA10" s="5"/>
      <c r="AB10" s="24"/>
      <c r="AC10" s="24"/>
      <c r="AD10" s="24"/>
      <c r="AE10" s="24"/>
      <c r="AF10" s="24"/>
      <c r="AG10" s="24"/>
      <c r="AH10" s="24"/>
      <c r="AI10" s="24"/>
      <c r="AJ10" s="24"/>
      <c r="AK10" s="24"/>
      <c r="AL10" s="24"/>
      <c r="AM10" s="24"/>
      <c r="AN10" s="5"/>
      <c r="AO10" s="24"/>
      <c r="AP10" s="24"/>
      <c r="AQ10" s="24"/>
      <c r="AR10" s="24"/>
      <c r="AS10" s="24"/>
      <c r="AT10" s="24"/>
      <c r="AU10" s="24"/>
      <c r="AV10" s="24"/>
      <c r="AW10" s="24"/>
      <c r="AX10" s="24"/>
      <c r="AY10" s="24"/>
      <c r="AZ10" s="24"/>
      <c r="BA10" s="5"/>
      <c r="BB10" s="24"/>
      <c r="BC10" s="24"/>
      <c r="BD10" s="24"/>
      <c r="BE10" s="24"/>
      <c r="BF10" s="24"/>
      <c r="BG10" s="24"/>
      <c r="BH10" s="24"/>
      <c r="BI10" s="24"/>
      <c r="BJ10" s="24"/>
      <c r="BK10" s="24"/>
      <c r="BL10" s="24"/>
      <c r="BM10" s="24"/>
      <c r="BN10" s="5"/>
      <c r="BO10" s="24"/>
      <c r="BP10" s="24"/>
      <c r="BQ10" s="24"/>
      <c r="BR10" s="24"/>
      <c r="BS10" s="24"/>
      <c r="BT10" s="24"/>
      <c r="BU10" s="24"/>
      <c r="BV10" s="24"/>
      <c r="BW10" s="24"/>
      <c r="BX10" s="24"/>
      <c r="BY10" s="24"/>
      <c r="BZ10" s="24"/>
      <c r="CA10" s="5"/>
      <c r="CB10" s="24"/>
      <c r="CC10" s="24"/>
      <c r="CD10" s="24"/>
      <c r="CE10" s="24"/>
      <c r="CF10" s="24"/>
      <c r="CG10" s="24"/>
      <c r="CH10" s="24"/>
      <c r="CI10" s="24"/>
      <c r="CJ10" s="24"/>
      <c r="CK10" s="24"/>
      <c r="CL10" s="24"/>
      <c r="CM10" s="24"/>
      <c r="CN10" s="5"/>
      <c r="CO10" s="24"/>
      <c r="CP10" s="24"/>
      <c r="CQ10" s="24"/>
      <c r="CR10" s="24"/>
      <c r="CS10" s="24"/>
      <c r="CT10" s="24"/>
      <c r="CU10" s="24"/>
      <c r="CV10" s="24"/>
      <c r="CW10" s="24"/>
      <c r="CX10" s="24"/>
      <c r="CY10" s="24"/>
      <c r="CZ10" s="24"/>
      <c r="DA10" s="5"/>
      <c r="DB10" s="24"/>
      <c r="DC10" s="24"/>
      <c r="DD10" s="24"/>
      <c r="DE10" s="24"/>
      <c r="DF10" s="24"/>
      <c r="DG10" s="24"/>
      <c r="DH10" s="24"/>
      <c r="DI10" s="24"/>
      <c r="DJ10" s="24"/>
      <c r="DK10" s="24"/>
      <c r="DL10" s="24"/>
      <c r="DM10" s="24"/>
      <c r="DN10" s="5"/>
      <c r="DO10" s="24"/>
      <c r="DP10" s="24"/>
      <c r="DQ10" s="24"/>
      <c r="DR10" s="24"/>
      <c r="DS10" s="24"/>
      <c r="DT10" s="24"/>
      <c r="DU10" s="24"/>
      <c r="DV10" s="24"/>
      <c r="DW10" s="24"/>
      <c r="DX10" s="24"/>
      <c r="DY10" s="24"/>
      <c r="DZ10" s="24"/>
      <c r="EA10" s="5"/>
      <c r="EB10" s="24"/>
      <c r="EC10" s="24"/>
      <c r="ED10" s="24"/>
      <c r="EE10" s="24"/>
      <c r="EF10" s="24"/>
      <c r="EG10" s="24"/>
      <c r="EH10" s="24"/>
      <c r="EI10" s="24"/>
      <c r="EJ10" s="24"/>
      <c r="EK10" s="24"/>
      <c r="EL10" s="24"/>
      <c r="EM10" s="24"/>
      <c r="EN10" s="5"/>
    </row>
    <row r="11" spans="1:144" ht="12.75" customHeight="1" x14ac:dyDescent="0.2">
      <c r="A11" s="11" t="str">
        <f>Labels!B25</f>
        <v>Final Sales</v>
      </c>
      <c r="B11" s="25">
        <f>Demand!B15+Capital!B11+Demand!B17</f>
        <v>1167555.3477495622</v>
      </c>
      <c r="C11" s="25">
        <f ca="1">Demand!C15+Capital!C11+Demand!C17</f>
        <v>1167587.9253138541</v>
      </c>
      <c r="D11" s="25">
        <f ca="1">Demand!D15+Capital!D11+Demand!D17</f>
        <v>1167547.304254987</v>
      </c>
      <c r="E11" s="25">
        <f ca="1">Demand!E15+Capital!E11+Demand!E17</f>
        <v>1167688.7772896637</v>
      </c>
      <c r="F11" s="25">
        <f ca="1">Demand!F15+Capital!F11+Demand!F17</f>
        <v>1167775.6098424606</v>
      </c>
      <c r="G11" s="25">
        <f ca="1">Demand!G15+Capital!G11+Demand!G17</f>
        <v>1167748.3871613729</v>
      </c>
      <c r="H11" s="25">
        <f ca="1">Demand!H15+Capital!H11+Demand!H17</f>
        <v>1167801.8124321771</v>
      </c>
      <c r="I11" s="25">
        <f ca="1">Demand!I15+Capital!I11+Demand!I17</f>
        <v>1167863.3200982073</v>
      </c>
      <c r="J11" s="25">
        <f ca="1">Demand!J15+Capital!J11+Demand!J17</f>
        <v>1167856.35448753</v>
      </c>
      <c r="K11" s="25">
        <f ca="1">Demand!K15+Capital!K11+Demand!K17</f>
        <v>1167923.498561912</v>
      </c>
      <c r="L11" s="25">
        <f ca="1">Demand!L15+Capital!L11+Demand!L17</f>
        <v>1167964.0678440076</v>
      </c>
      <c r="M11" s="25">
        <f ca="1">Demand!M15+Capital!M11+Demand!M17</f>
        <v>1167988.228590349</v>
      </c>
      <c r="N11" s="26">
        <f ca="1">SUM(B11:M11)</f>
        <v>14013300.633626083</v>
      </c>
      <c r="O11" s="25">
        <f ca="1">Demand!O15+Capital!O11+Demand!O17</f>
        <v>1167969.1086219936</v>
      </c>
      <c r="P11" s="25">
        <f ca="1">Demand!P15+Capital!P11+Demand!P17</f>
        <v>1167927.1188853774</v>
      </c>
      <c r="Q11" s="25">
        <f ca="1">Demand!Q15+Capital!Q11+Demand!Q17</f>
        <v>1167968.233213983</v>
      </c>
      <c r="R11" s="25">
        <f ca="1">Demand!R15+Capital!R11+Demand!R17</f>
        <v>1167876.1065378678</v>
      </c>
      <c r="S11" s="25">
        <f ca="1">Demand!S15+Capital!S11+Demand!S17</f>
        <v>1167935.2325309818</v>
      </c>
      <c r="T11" s="25">
        <f ca="1">Demand!T15+Capital!T11+Demand!T17</f>
        <v>1168064.914163426</v>
      </c>
      <c r="U11" s="25">
        <f ca="1">Demand!U15+Capital!U11+Demand!U17</f>
        <v>1168135.6530568479</v>
      </c>
      <c r="V11" s="25">
        <f ca="1">Demand!V15+Capital!V11+Demand!V17</f>
        <v>1168028.9920293288</v>
      </c>
      <c r="W11" s="25">
        <f ca="1">Demand!W15+Capital!W11+Demand!W17</f>
        <v>1168060.7428390756</v>
      </c>
      <c r="X11" s="25">
        <f ca="1">Demand!X15+Capital!X11+Demand!X17</f>
        <v>1168107.5997609603</v>
      </c>
      <c r="Y11" s="25">
        <f ca="1">Demand!Y15+Capital!Y11+Demand!Y17</f>
        <v>1167979.8888643123</v>
      </c>
      <c r="Z11" s="25">
        <f ca="1">Demand!Z15+Capital!Z11+Demand!Z17</f>
        <v>1167988.4463955639</v>
      </c>
      <c r="AA11" s="26">
        <f ca="1">SUM(O11:Z11)</f>
        <v>14016042.036899719</v>
      </c>
      <c r="AB11" s="25">
        <f ca="1">Demand!AB15+Capital!AB11+Demand!AB17</f>
        <v>1167974.1044266738</v>
      </c>
      <c r="AC11" s="25">
        <f ca="1">Demand!AC15+Capital!AC11+Demand!AC17</f>
        <v>1167985.7870985717</v>
      </c>
      <c r="AD11" s="25">
        <f ca="1">Demand!AD15+Capital!AD11+Demand!AD17</f>
        <v>1168085.6139870323</v>
      </c>
      <c r="AE11" s="25">
        <f ca="1">Demand!AE15+Capital!AE11+Demand!AE17</f>
        <v>1168207.3260010681</v>
      </c>
      <c r="AF11" s="25">
        <f ca="1">Demand!AF15+Capital!AF11+Demand!AF17</f>
        <v>1168272.719901368</v>
      </c>
      <c r="AG11" s="25">
        <f ca="1">Demand!AG15+Capital!AG11+Demand!AG17</f>
        <v>1168288.3744899933</v>
      </c>
      <c r="AH11" s="25">
        <f ca="1">Demand!AH15+Capital!AH11+Demand!AH17</f>
        <v>1168217.2659146248</v>
      </c>
      <c r="AI11" s="25">
        <f ca="1">Demand!AI15+Capital!AI11+Demand!AI17</f>
        <v>1168207.9241397125</v>
      </c>
      <c r="AJ11" s="25">
        <f ca="1">Demand!AJ15+Capital!AJ11+Demand!AJ17</f>
        <v>1168121.3927478304</v>
      </c>
      <c r="AK11" s="25">
        <f ca="1">Demand!AK15+Capital!AK11+Demand!AK17</f>
        <v>1168095.4762768811</v>
      </c>
      <c r="AL11" s="25">
        <f ca="1">Demand!AL15+Capital!AL11+Demand!AL17</f>
        <v>1168068.9217219865</v>
      </c>
      <c r="AM11" s="25">
        <f ca="1">Demand!AM15+Capital!AM11+Demand!AM17</f>
        <v>1168091.3321017246</v>
      </c>
      <c r="AN11" s="26">
        <f ca="1">SUM(AB11:AM11)</f>
        <v>14017616.238807466</v>
      </c>
      <c r="AO11" s="25">
        <f ca="1">Demand!AO15+Capital!AO11+Demand!AO17</f>
        <v>1168080.2394526964</v>
      </c>
      <c r="AP11" s="25">
        <f ca="1">Demand!AP15+Capital!AP11+Demand!AP17</f>
        <v>1168079.969178773</v>
      </c>
      <c r="AQ11" s="25">
        <f ca="1">Demand!AQ15+Capital!AQ11+Demand!AQ17</f>
        <v>1168139.0725584957</v>
      </c>
      <c r="AR11" s="25">
        <f ca="1">Demand!AR15+Capital!AR11+Demand!AR17</f>
        <v>1168079.2570204302</v>
      </c>
      <c r="AS11" s="25">
        <f ca="1">Demand!AS15+Capital!AS11+Demand!AS17</f>
        <v>1168064.2906671925</v>
      </c>
      <c r="AT11" s="25">
        <f ca="1">Demand!AT15+Capital!AT11+Demand!AT17</f>
        <v>1168023.3452014588</v>
      </c>
      <c r="AU11" s="25">
        <f ca="1">Demand!AU15+Capital!AU11+Demand!AU17</f>
        <v>1168126.9626813354</v>
      </c>
      <c r="AV11" s="25">
        <f ca="1">Demand!AV15+Capital!AV11+Demand!AV17</f>
        <v>1168146.3083352244</v>
      </c>
      <c r="AW11" s="25">
        <f ca="1">Demand!AW15+Capital!AW11+Demand!AW17</f>
        <v>1168099.4514963999</v>
      </c>
      <c r="AX11" s="25">
        <f ca="1">Demand!AX15+Capital!AX11+Demand!AX17</f>
        <v>1168121.5501497914</v>
      </c>
      <c r="AY11" s="25">
        <f ca="1">Demand!AY15+Capital!AY11+Demand!AY17</f>
        <v>1168101.841025664</v>
      </c>
      <c r="AZ11" s="25">
        <f ca="1">Demand!AZ15+Capital!AZ11+Demand!AZ17</f>
        <v>1168017.2196828807</v>
      </c>
      <c r="BA11" s="26">
        <f ca="1">SUM(AO11:AZ11)</f>
        <v>14017079.507450342</v>
      </c>
      <c r="BB11" s="25">
        <f ca="1">Demand!BB15+Capital!BB11+Demand!BB17</f>
        <v>1168103.8312672707</v>
      </c>
      <c r="BC11" s="25">
        <f ca="1">Demand!BC15+Capital!BC11+Demand!BC17</f>
        <v>1168197.0689789741</v>
      </c>
      <c r="BD11" s="25">
        <f ca="1">Demand!BD15+Capital!BD11+Demand!BD17</f>
        <v>1168158.4473263565</v>
      </c>
      <c r="BE11" s="25">
        <f ca="1">Demand!BE15+Capital!BE11+Demand!BE17</f>
        <v>1168141.6689639487</v>
      </c>
      <c r="BF11" s="25">
        <f ca="1">Demand!BF15+Capital!BF11+Demand!BF17</f>
        <v>1168149.2826880333</v>
      </c>
      <c r="BG11" s="25">
        <f ca="1">Demand!BG15+Capital!BG11+Demand!BG17</f>
        <v>1168148.0251369555</v>
      </c>
      <c r="BH11" s="25">
        <f ca="1">Demand!BH15+Capital!BH11+Demand!BH17</f>
        <v>1168079.9880218953</v>
      </c>
      <c r="BI11" s="25">
        <f ca="1">Demand!BI15+Capital!BI11+Demand!BI17</f>
        <v>1168050.2063802718</v>
      </c>
      <c r="BJ11" s="25">
        <f ca="1">Demand!BJ15+Capital!BJ11+Demand!BJ17</f>
        <v>1167966.5925050117</v>
      </c>
      <c r="BK11" s="25">
        <f ca="1">Demand!BK15+Capital!BK11+Demand!BK17</f>
        <v>1168036.2385525208</v>
      </c>
      <c r="BL11" s="25">
        <f ca="1">Demand!BL15+Capital!BL11+Demand!BL17</f>
        <v>1168009.8103179953</v>
      </c>
      <c r="BM11" s="25">
        <f ca="1">Demand!BM15+Capital!BM11+Demand!BM17</f>
        <v>1168142.2966129552</v>
      </c>
      <c r="BN11" s="26">
        <f ca="1">SUM(BB11:BM11)</f>
        <v>14017183.456752189</v>
      </c>
      <c r="BO11" s="25">
        <f ca="1">Demand!BO15+Capital!BO11+Demand!BO17</f>
        <v>1168046.6746764968</v>
      </c>
      <c r="BP11" s="25">
        <f ca="1">Demand!BP15+Capital!BP11+Demand!BP17</f>
        <v>1168101.179574206</v>
      </c>
      <c r="BQ11" s="25">
        <f ca="1">Demand!BQ15+Capital!BQ11+Demand!BQ17</f>
        <v>1168142.742815292</v>
      </c>
      <c r="BR11" s="25">
        <f ca="1">Demand!BR15+Capital!BR11+Demand!BR17</f>
        <v>1168139.1911131926</v>
      </c>
      <c r="BS11" s="25">
        <f ca="1">Demand!BS15+Capital!BS11+Demand!BS17</f>
        <v>1168027.7634200451</v>
      </c>
      <c r="BT11" s="25">
        <f ca="1">Demand!BT15+Capital!BT11+Demand!BT17</f>
        <v>1168204.9063412803</v>
      </c>
      <c r="BU11" s="25">
        <f ca="1">Demand!BU15+Capital!BU11+Demand!BU17</f>
        <v>1168135.9928834666</v>
      </c>
      <c r="BV11" s="25">
        <f ca="1">Demand!BV15+Capital!BV11+Demand!BV17</f>
        <v>1168174.0087470245</v>
      </c>
      <c r="BW11" s="25">
        <f ca="1">Demand!BW15+Capital!BW11+Demand!BW17</f>
        <v>1168189.9094572002</v>
      </c>
      <c r="BX11" s="25">
        <f ca="1">Demand!BX15+Capital!BX11+Demand!BX17</f>
        <v>1168289.3450369239</v>
      </c>
      <c r="BY11" s="25">
        <f ca="1">Demand!BY15+Capital!BY11+Demand!BY17</f>
        <v>1168253.1977069257</v>
      </c>
      <c r="BZ11" s="25">
        <f ca="1">Demand!BZ15+Capital!BZ11+Demand!BZ17</f>
        <v>1168260.314745598</v>
      </c>
      <c r="CA11" s="26">
        <f ca="1">SUM(BO11:BZ11)</f>
        <v>14017965.226517651</v>
      </c>
      <c r="CB11" s="25">
        <f ca="1">Demand!CB15+Capital!CB11+Demand!CB17</f>
        <v>1168344.5518979277</v>
      </c>
      <c r="CC11" s="25">
        <f ca="1">Demand!CC15+Capital!CC11+Demand!CC17</f>
        <v>1168265.6125304129</v>
      </c>
      <c r="CD11" s="25">
        <f ca="1">Demand!CD15+Capital!CD11+Demand!CD17</f>
        <v>1168252.5920358631</v>
      </c>
      <c r="CE11" s="25">
        <f ca="1">Demand!CE15+Capital!CE11+Demand!CE17</f>
        <v>1168236.6264347583</v>
      </c>
      <c r="CF11" s="25">
        <f ca="1">Demand!CF15+Capital!CF11+Demand!CF17</f>
        <v>1168271.3955432293</v>
      </c>
      <c r="CG11" s="25">
        <f ca="1">Demand!CG15+Capital!CG11+Demand!CG17</f>
        <v>1168345.6279009045</v>
      </c>
      <c r="CH11" s="25">
        <f ca="1">Demand!CH15+Capital!CH11+Demand!CH17</f>
        <v>1168293.4925220339</v>
      </c>
      <c r="CI11" s="25">
        <f ca="1">Demand!CI15+Capital!CI11+Demand!CI17</f>
        <v>1168185.8498722184</v>
      </c>
      <c r="CJ11" s="25">
        <f ca="1">Demand!CJ15+Capital!CJ11+Demand!CJ17</f>
        <v>1168069.9372769035</v>
      </c>
      <c r="CK11" s="25">
        <f ca="1">Demand!CK15+Capital!CK11+Demand!CK17</f>
        <v>1168062.9411278735</v>
      </c>
      <c r="CL11" s="25">
        <f ca="1">Demand!CL15+Capital!CL11+Demand!CL17</f>
        <v>1168046.9851927478</v>
      </c>
      <c r="CM11" s="25">
        <f ca="1">Demand!CM15+Capital!CM11+Demand!CM17</f>
        <v>1168122.627753647</v>
      </c>
      <c r="CN11" s="26">
        <f ca="1">SUM(CB11:CM11)</f>
        <v>14018498.240088519</v>
      </c>
      <c r="CO11" s="25">
        <f ca="1">Demand!CO15+Capital!CO11+Demand!CO17</f>
        <v>1168235.2091215402</v>
      </c>
      <c r="CP11" s="25">
        <f ca="1">Demand!CP15+Capital!CP11+Demand!CP17</f>
        <v>1168108.925731184</v>
      </c>
      <c r="CQ11" s="25">
        <f ca="1">Demand!CQ15+Capital!CQ11+Demand!CQ17</f>
        <v>1167955.0038781611</v>
      </c>
      <c r="CR11" s="25">
        <f ca="1">Demand!CR15+Capital!CR11+Demand!CR17</f>
        <v>1167933.8353511102</v>
      </c>
      <c r="CS11" s="25">
        <f ca="1">Demand!CS15+Capital!CS11+Demand!CS17</f>
        <v>1167954.4880080745</v>
      </c>
      <c r="CT11" s="25">
        <f ca="1">Demand!CT15+Capital!CT11+Demand!CT17</f>
        <v>1167938.4639299358</v>
      </c>
      <c r="CU11" s="25">
        <f ca="1">Demand!CU15+Capital!CU11+Demand!CU17</f>
        <v>1167974.6070142132</v>
      </c>
      <c r="CV11" s="25">
        <f ca="1">Demand!CV15+Capital!CV11+Demand!CV17</f>
        <v>1167980.5564469723</v>
      </c>
      <c r="CW11" s="25">
        <f ca="1">Demand!CW15+Capital!CW11+Demand!CW17</f>
        <v>1167932.648256449</v>
      </c>
      <c r="CX11" s="25">
        <f ca="1">Demand!CX15+Capital!CX11+Demand!CX17</f>
        <v>1167919.2642312399</v>
      </c>
      <c r="CY11" s="25">
        <f ca="1">Demand!CY15+Capital!CY11+Demand!CY17</f>
        <v>1167842.623879933</v>
      </c>
      <c r="CZ11" s="25">
        <f ca="1">Demand!CZ15+Capital!CZ11+Demand!CZ17</f>
        <v>1167826.6538967714</v>
      </c>
      <c r="DA11" s="26">
        <f ca="1">SUM(CO11:CZ11)</f>
        <v>14015602.279745584</v>
      </c>
      <c r="DB11" s="25">
        <f ca="1">Demand!DB15+Capital!DB11+Demand!DB17</f>
        <v>1167878.4037473684</v>
      </c>
      <c r="DC11" s="25">
        <f ca="1">Demand!DC15+Capital!DC11+Demand!DC17</f>
        <v>1167943.3410623618</v>
      </c>
      <c r="DD11" s="25">
        <f ca="1">Demand!DD15+Capital!DD11+Demand!DD17</f>
        <v>1167977.9443888776</v>
      </c>
      <c r="DE11" s="25">
        <f ca="1">Demand!DE15+Capital!DE11+Demand!DE17</f>
        <v>1167862.4875764851</v>
      </c>
      <c r="DF11" s="25">
        <f ca="1">Demand!DF15+Capital!DF11+Demand!DF17</f>
        <v>1167793.6924592461</v>
      </c>
      <c r="DG11" s="25">
        <f ca="1">Demand!DG15+Capital!DG11+Demand!DG17</f>
        <v>1167716.5520212054</v>
      </c>
      <c r="DH11" s="25">
        <f ca="1">Demand!DH15+Capital!DH11+Demand!DH17</f>
        <v>1167746.7141493086</v>
      </c>
      <c r="DI11" s="25">
        <f ca="1">Demand!DI15+Capital!DI11+Demand!DI17</f>
        <v>1167689.2248225319</v>
      </c>
      <c r="DJ11" s="25">
        <f ca="1">Demand!DJ15+Capital!DJ11+Demand!DJ17</f>
        <v>1167557.9956191191</v>
      </c>
      <c r="DK11" s="25">
        <f ca="1">Demand!DK15+Capital!DK11+Demand!DK17</f>
        <v>1167575.4569872287</v>
      </c>
      <c r="DL11" s="25">
        <f ca="1">Demand!DL15+Capital!DL11+Demand!DL17</f>
        <v>1167631.5442031797</v>
      </c>
      <c r="DM11" s="25">
        <f ca="1">Demand!DM15+Capital!DM11+Demand!DM17</f>
        <v>1167741.9252469689</v>
      </c>
      <c r="DN11" s="26">
        <f ca="1">SUM(DB11:DM11)</f>
        <v>14013115.282283878</v>
      </c>
      <c r="DO11" s="25">
        <f ca="1">Demand!DO15+Capital!DO11+Demand!DO17</f>
        <v>1167632.5494439346</v>
      </c>
      <c r="DP11" s="25">
        <f ca="1">Demand!DP15+Capital!DP11+Demand!DP17</f>
        <v>1167661.410660177</v>
      </c>
      <c r="DQ11" s="25">
        <f ca="1">Demand!DQ15+Capital!DQ11+Demand!DQ17</f>
        <v>1167648.4174612993</v>
      </c>
      <c r="DR11" s="25">
        <f ca="1">Demand!DR15+Capital!DR11+Demand!DR17</f>
        <v>1167520.0218642638</v>
      </c>
      <c r="DS11" s="25">
        <f ca="1">Demand!DS15+Capital!DS11+Demand!DS17</f>
        <v>1167537.2086344026</v>
      </c>
      <c r="DT11" s="25">
        <f ca="1">Demand!DT15+Capital!DT11+Demand!DT17</f>
        <v>1167552.5155821894</v>
      </c>
      <c r="DU11" s="25">
        <f ca="1">Demand!DU15+Capital!DU11+Demand!DU17</f>
        <v>1167486.5264103552</v>
      </c>
      <c r="DV11" s="25">
        <f ca="1">Demand!DV15+Capital!DV11+Demand!DV17</f>
        <v>1167487.3281867972</v>
      </c>
      <c r="DW11" s="25">
        <f ca="1">Demand!DW15+Capital!DW11+Demand!DW17</f>
        <v>1167567.1636222089</v>
      </c>
      <c r="DX11" s="25">
        <f ca="1">Demand!DX15+Capital!DX11+Demand!DX17</f>
        <v>1167474.6278380624</v>
      </c>
      <c r="DY11" s="25">
        <f ca="1">Demand!DY15+Capital!DY11+Demand!DY17</f>
        <v>1167432.7429550029</v>
      </c>
      <c r="DZ11" s="25">
        <f ca="1">Demand!DZ15+Capital!DZ11+Demand!DZ17</f>
        <v>1167528.3384088879</v>
      </c>
      <c r="EA11" s="26">
        <f ca="1">SUM(DO11:DZ11)</f>
        <v>14010528.851067582</v>
      </c>
      <c r="EB11" s="25">
        <f ca="1">Demand!EB15+Capital!EB11+Demand!EB17</f>
        <v>1167616.5580208083</v>
      </c>
      <c r="EC11" s="25">
        <f ca="1">Demand!EC15+Capital!EC11+Demand!EC17</f>
        <v>1167551.011684048</v>
      </c>
      <c r="ED11" s="25">
        <f ca="1">Demand!ED15+Capital!ED11+Demand!ED17</f>
        <v>1167500.6113708606</v>
      </c>
      <c r="EE11" s="25">
        <f ca="1">Demand!EE15+Capital!EE11+Demand!EE17</f>
        <v>1167492.5988428909</v>
      </c>
      <c r="EF11" s="25">
        <f ca="1">Demand!EF15+Capital!EF11+Demand!EF17</f>
        <v>1167369.0984903914</v>
      </c>
      <c r="EG11" s="25">
        <f ca="1">Demand!EG15+Capital!EG11+Demand!EG17</f>
        <v>1167503.2772168235</v>
      </c>
      <c r="EH11" s="25">
        <f ca="1">Demand!EH15+Capital!EH11+Demand!EH17</f>
        <v>1167479.3721705298</v>
      </c>
      <c r="EI11" s="25">
        <f ca="1">Demand!EI15+Capital!EI11+Demand!EI17</f>
        <v>1167397.0480726992</v>
      </c>
      <c r="EJ11" s="25">
        <f ca="1">Demand!EJ15+Capital!EJ11+Demand!EJ17</f>
        <v>1167488.813672469</v>
      </c>
      <c r="EK11" s="25">
        <f ca="1">Demand!EK15+Capital!EK11+Demand!EK17</f>
        <v>1167345.1173066904</v>
      </c>
      <c r="EL11" s="25">
        <f ca="1">Demand!EL15+Capital!EL11+Demand!EL17</f>
        <v>1167418.5505983299</v>
      </c>
      <c r="EM11" s="25">
        <f ca="1">Demand!EM15+Capital!EM11+Demand!EM17</f>
        <v>1167454.7904770589</v>
      </c>
      <c r="EN11" s="26">
        <f ca="1">SUM(EB11:EM11)</f>
        <v>14009616.847923603</v>
      </c>
    </row>
    <row r="12" spans="1:144" ht="12.75" customHeight="1" x14ac:dyDescent="0.2">
      <c r="A12" s="5"/>
      <c r="B12" s="24"/>
      <c r="C12" s="24"/>
      <c r="D12" s="24"/>
      <c r="E12" s="24"/>
      <c r="F12" s="24"/>
      <c r="G12" s="24"/>
      <c r="H12" s="24"/>
      <c r="I12" s="24"/>
      <c r="J12" s="24"/>
      <c r="K12" s="24"/>
      <c r="L12" s="24"/>
      <c r="M12" s="24"/>
      <c r="N12" s="5"/>
      <c r="O12" s="24"/>
      <c r="P12" s="24"/>
      <c r="Q12" s="24"/>
      <c r="R12" s="24"/>
      <c r="S12" s="24"/>
      <c r="T12" s="24"/>
      <c r="U12" s="24"/>
      <c r="V12" s="24"/>
      <c r="W12" s="24"/>
      <c r="X12" s="24"/>
      <c r="Y12" s="24"/>
      <c r="Z12" s="24"/>
      <c r="AA12" s="5"/>
      <c r="AB12" s="24"/>
      <c r="AC12" s="24"/>
      <c r="AD12" s="24"/>
      <c r="AE12" s="24"/>
      <c r="AF12" s="24"/>
      <c r="AG12" s="24"/>
      <c r="AH12" s="24"/>
      <c r="AI12" s="24"/>
      <c r="AJ12" s="24"/>
      <c r="AK12" s="24"/>
      <c r="AL12" s="24"/>
      <c r="AM12" s="24"/>
      <c r="AN12" s="5"/>
      <c r="AO12" s="24"/>
      <c r="AP12" s="24"/>
      <c r="AQ12" s="24"/>
      <c r="AR12" s="24"/>
      <c r="AS12" s="24"/>
      <c r="AT12" s="24"/>
      <c r="AU12" s="24"/>
      <c r="AV12" s="24"/>
      <c r="AW12" s="24"/>
      <c r="AX12" s="24"/>
      <c r="AY12" s="24"/>
      <c r="AZ12" s="24"/>
      <c r="BA12" s="5"/>
      <c r="BB12" s="24"/>
      <c r="BC12" s="24"/>
      <c r="BD12" s="24"/>
      <c r="BE12" s="24"/>
      <c r="BF12" s="24"/>
      <c r="BG12" s="24"/>
      <c r="BH12" s="24"/>
      <c r="BI12" s="24"/>
      <c r="BJ12" s="24"/>
      <c r="BK12" s="24"/>
      <c r="BL12" s="24"/>
      <c r="BM12" s="24"/>
      <c r="BN12" s="5"/>
      <c r="BO12" s="24"/>
      <c r="BP12" s="24"/>
      <c r="BQ12" s="24"/>
      <c r="BR12" s="24"/>
      <c r="BS12" s="24"/>
      <c r="BT12" s="24"/>
      <c r="BU12" s="24"/>
      <c r="BV12" s="24"/>
      <c r="BW12" s="24"/>
      <c r="BX12" s="24"/>
      <c r="BY12" s="24"/>
      <c r="BZ12" s="24"/>
      <c r="CA12" s="5"/>
      <c r="CB12" s="24"/>
      <c r="CC12" s="24"/>
      <c r="CD12" s="24"/>
      <c r="CE12" s="24"/>
      <c r="CF12" s="24"/>
      <c r="CG12" s="24"/>
      <c r="CH12" s="24"/>
      <c r="CI12" s="24"/>
      <c r="CJ12" s="24"/>
      <c r="CK12" s="24"/>
      <c r="CL12" s="24"/>
      <c r="CM12" s="24"/>
      <c r="CN12" s="5"/>
      <c r="CO12" s="24"/>
      <c r="CP12" s="24"/>
      <c r="CQ12" s="24"/>
      <c r="CR12" s="24"/>
      <c r="CS12" s="24"/>
      <c r="CT12" s="24"/>
      <c r="CU12" s="24"/>
      <c r="CV12" s="24"/>
      <c r="CW12" s="24"/>
      <c r="CX12" s="24"/>
      <c r="CY12" s="24"/>
      <c r="CZ12" s="24"/>
      <c r="DA12" s="5"/>
      <c r="DB12" s="24"/>
      <c r="DC12" s="24"/>
      <c r="DD12" s="24"/>
      <c r="DE12" s="24"/>
      <c r="DF12" s="24"/>
      <c r="DG12" s="24"/>
      <c r="DH12" s="24"/>
      <c r="DI12" s="24"/>
      <c r="DJ12" s="24"/>
      <c r="DK12" s="24"/>
      <c r="DL12" s="24"/>
      <c r="DM12" s="24"/>
      <c r="DN12" s="5"/>
      <c r="DO12" s="24"/>
      <c r="DP12" s="24"/>
      <c r="DQ12" s="24"/>
      <c r="DR12" s="24"/>
      <c r="DS12" s="24"/>
      <c r="DT12" s="24"/>
      <c r="DU12" s="24"/>
      <c r="DV12" s="24"/>
      <c r="DW12" s="24"/>
      <c r="DX12" s="24"/>
      <c r="DY12" s="24"/>
      <c r="DZ12" s="24"/>
      <c r="EA12" s="5"/>
      <c r="EB12" s="24"/>
      <c r="EC12" s="24"/>
      <c r="ED12" s="24"/>
      <c r="EE12" s="24"/>
      <c r="EF12" s="24"/>
      <c r="EG12" s="24"/>
      <c r="EH12" s="24"/>
      <c r="EI12" s="24"/>
      <c r="EJ12" s="24"/>
      <c r="EK12" s="24"/>
      <c r="EL12" s="24"/>
      <c r="EM12" s="24"/>
      <c r="EN12" s="5"/>
    </row>
    <row r="13" spans="1:144" ht="12.75" customHeight="1" x14ac:dyDescent="0.2">
      <c r="A13" s="11" t="str">
        <f>Labels!B34</f>
        <v>Permanent Income</v>
      </c>
      <c r="B13" s="25">
        <f>Output!B13-Gov!B13+'(Other Computations)'!B8*0/Inputs!B35/12</f>
        <v>933333.33333333337</v>
      </c>
      <c r="C13" s="25">
        <f ca="1">B13+'(Other Computations)'!B8*(B9-B13)/Inputs!B35/12</f>
        <v>933381.15111087961</v>
      </c>
      <c r="D13" s="25">
        <f ca="1">C13+'(Other Computations)'!B8*(C9-C13)/Inputs!B35/12</f>
        <v>933405.31829365669</v>
      </c>
      <c r="E13" s="25">
        <f ca="1">D13+'(Other Computations)'!B8*(D9-D13)/Inputs!B35/12</f>
        <v>933467.02152908174</v>
      </c>
      <c r="F13" s="25">
        <f ca="1">E13+'(Other Computations)'!B8*(E9-E13)/Inputs!B35/12</f>
        <v>933440.85572897305</v>
      </c>
      <c r="G13" s="25">
        <f ca="1">F13+'(Other Computations)'!B8*(F9-F13)/Inputs!B35/12</f>
        <v>933542.31721433683</v>
      </c>
      <c r="H13" s="25">
        <f ca="1">G13+'(Other Computations)'!B8*(G9-G13)/Inputs!B35/12</f>
        <v>933595.02425196592</v>
      </c>
      <c r="I13" s="25">
        <f ca="1">H13+'(Other Computations)'!B8*(H9-H13)/Inputs!B35/12</f>
        <v>933698.85003358731</v>
      </c>
      <c r="J13" s="25">
        <f ca="1">I13+'(Other Computations)'!B8*(I9-I13)/Inputs!B35/12</f>
        <v>933668.98020786815</v>
      </c>
      <c r="K13" s="25">
        <f ca="1">J13+'(Other Computations)'!B8*(J9-J13)/Inputs!B35/12</f>
        <v>933698.68969696469</v>
      </c>
      <c r="L13" s="25">
        <f ca="1">K13+'(Other Computations)'!B8*(K9-K13)/Inputs!B35/12</f>
        <v>933740.01197400398</v>
      </c>
      <c r="M13" s="25">
        <f ca="1">L13+'(Other Computations)'!B8*(L9-L13)/Inputs!B35/12</f>
        <v>933737.51361474046</v>
      </c>
      <c r="N13" s="26">
        <f ca="1">SUM(B13:M13)</f>
        <v>11202709.06698939</v>
      </c>
      <c r="O13" s="25">
        <f ca="1">M13+'(Other Computations)'!B8*(M9-M13)/Inputs!B35/12</f>
        <v>933674.34067444759</v>
      </c>
      <c r="P13" s="25">
        <f ca="1">O13+'(Other Computations)'!B8*(O9-O13)/Inputs!B35/12</f>
        <v>933666.81860540051</v>
      </c>
      <c r="Q13" s="25">
        <f ca="1">P13+'(Other Computations)'!B8*(P9-P13)/Inputs!B35/12</f>
        <v>933601.93108791823</v>
      </c>
      <c r="R13" s="25">
        <f ca="1">Q13+'(Other Computations)'!B8*(Q9-Q13)/Inputs!B35/12</f>
        <v>933584.17354932381</v>
      </c>
      <c r="S13" s="25">
        <f ca="1">R13+'(Other Computations)'!B8*(R9-R13)/Inputs!B35/12</f>
        <v>933584.32405049296</v>
      </c>
      <c r="T13" s="25">
        <f ca="1">S13+'(Other Computations)'!B8*(S9-S13)/Inputs!B35/12</f>
        <v>933630.34116657148</v>
      </c>
      <c r="U13" s="25">
        <f ca="1">T13+'(Other Computations)'!B8*(T9-T13)/Inputs!B35/12</f>
        <v>933583.65480826865</v>
      </c>
      <c r="V13" s="25">
        <f ca="1">U13+'(Other Computations)'!B8*(U9-U13)/Inputs!B35/12</f>
        <v>933607.32828089118</v>
      </c>
      <c r="W13" s="25">
        <f ca="1">V13+'(Other Computations)'!B8*(V9-V13)/Inputs!B35/12</f>
        <v>933640.08837359294</v>
      </c>
      <c r="X13" s="25">
        <f ca="1">W13+'(Other Computations)'!B8*(W9-W13)/Inputs!B35/12</f>
        <v>933604.83854715992</v>
      </c>
      <c r="Y13" s="25">
        <f ca="1">X13+'(Other Computations)'!B8*(X9-X13)/Inputs!B35/12</f>
        <v>933581.68283591443</v>
      </c>
      <c r="Z13" s="25">
        <f ca="1">Y13+'(Other Computations)'!B8*(Y9-Y13)/Inputs!B35/12</f>
        <v>933551.61261451908</v>
      </c>
      <c r="AA13" s="26">
        <f ca="1">SUM(O13:Z13)</f>
        <v>11203311.1345945</v>
      </c>
      <c r="AB13" s="25">
        <f ca="1">Z13+'(Other Computations)'!B8*(Z9-Z13)/Inputs!B35/12</f>
        <v>933541.44302389526</v>
      </c>
      <c r="AC13" s="25">
        <f ca="1">AB13+'(Other Computations)'!B8*(AB9-AB13)/Inputs!B35/12</f>
        <v>933488.46034997527</v>
      </c>
      <c r="AD13" s="25">
        <f ca="1">AC13+'(Other Computations)'!B8*(AC9-AC13)/Inputs!B35/12</f>
        <v>933532.39990816358</v>
      </c>
      <c r="AE13" s="25">
        <f ca="1">AD13+'(Other Computations)'!B8*(AD9-AD13)/Inputs!B35/12</f>
        <v>933652.98251277162</v>
      </c>
      <c r="AF13" s="25">
        <f ca="1">AE13+'(Other Computations)'!B8*(AE9-AE13)/Inputs!B35/12</f>
        <v>933643.46670841402</v>
      </c>
      <c r="AG13" s="25">
        <f ca="1">AF13+'(Other Computations)'!B8*(AF9-AF13)/Inputs!B35/12</f>
        <v>933572.62750915356</v>
      </c>
      <c r="AH13" s="25">
        <f ca="1">AG13+'(Other Computations)'!B8*(AG9-AG13)/Inputs!B35/12</f>
        <v>933509.47470393789</v>
      </c>
      <c r="AI13" s="25">
        <f ca="1">AH13+'(Other Computations)'!B8*(AH9-AH13)/Inputs!B35/12</f>
        <v>933553.31768709433</v>
      </c>
      <c r="AJ13" s="25">
        <f ca="1">AI13+'(Other Computations)'!B8*(AI9-AI13)/Inputs!B35/12</f>
        <v>933501.68377489236</v>
      </c>
      <c r="AK13" s="25">
        <f ca="1">AJ13+'(Other Computations)'!B8*(AJ9-AJ13)/Inputs!B35/12</f>
        <v>933394.8386365039</v>
      </c>
      <c r="AL13" s="25">
        <f ca="1">AK13+'(Other Computations)'!B8*(AK9-AK13)/Inputs!B35/12</f>
        <v>933457.11812053865</v>
      </c>
      <c r="AM13" s="25">
        <f ca="1">AL13+'(Other Computations)'!B8*(AL9-AL13)/Inputs!B35/12</f>
        <v>933492.05629053188</v>
      </c>
      <c r="AN13" s="26">
        <f ca="1">SUM(AB13:AM13)</f>
        <v>11202339.869225873</v>
      </c>
      <c r="AO13" s="25">
        <f ca="1">AM13+'(Other Computations)'!B8*(AM9-AM13)/Inputs!B35/12</f>
        <v>933520.03701784101</v>
      </c>
      <c r="AP13" s="25">
        <f ca="1">AO13+'(Other Computations)'!B8*(AO9-AO13)/Inputs!B35/12</f>
        <v>933540.85066056566</v>
      </c>
      <c r="AQ13" s="25">
        <f ca="1">AP13+'(Other Computations)'!B8*(AP9-AP13)/Inputs!B35/12</f>
        <v>933621.39343488635</v>
      </c>
      <c r="AR13" s="25">
        <f ca="1">AQ13+'(Other Computations)'!B8*(AQ9-AQ13)/Inputs!B35/12</f>
        <v>933645.74593178742</v>
      </c>
      <c r="AS13" s="25">
        <f ca="1">AR13+'(Other Computations)'!B8*(AR9-AR13)/Inputs!B35/12</f>
        <v>933598.15036649443</v>
      </c>
      <c r="AT13" s="25">
        <f ca="1">AS13+'(Other Computations)'!B8*(AS9-AS13)/Inputs!B35/12</f>
        <v>933573.99194506416</v>
      </c>
      <c r="AU13" s="25">
        <f ca="1">AT13+'(Other Computations)'!B8*(AT9-AT13)/Inputs!B35/12</f>
        <v>933669.26719709777</v>
      </c>
      <c r="AV13" s="25">
        <f ca="1">AU13+'(Other Computations)'!B8*(AU9-AU13)/Inputs!B35/12</f>
        <v>933645.9895201436</v>
      </c>
      <c r="AW13" s="25">
        <f ca="1">AV13+'(Other Computations)'!B8*(AV9-AV13)/Inputs!B35/12</f>
        <v>933574.97968643764</v>
      </c>
      <c r="AX13" s="25">
        <f ca="1">AW13+'(Other Computations)'!B8*(AW9-AW13)/Inputs!B35/12</f>
        <v>933484.14271371509</v>
      </c>
      <c r="AY13" s="25">
        <f ca="1">AX13+'(Other Computations)'!B8*(AX9-AX13)/Inputs!B35/12</f>
        <v>933542.77132174151</v>
      </c>
      <c r="AZ13" s="25">
        <f ca="1">AY13+'(Other Computations)'!B8*(AY9-AY13)/Inputs!B35/12</f>
        <v>933529.31362691103</v>
      </c>
      <c r="BA13" s="26">
        <f ca="1">SUM(AO13:AZ13)</f>
        <v>11202946.633422686</v>
      </c>
      <c r="BB13" s="25">
        <f ca="1">AZ13+'(Other Computations)'!B8*(AZ9-AZ13)/Inputs!B35/12</f>
        <v>933527.00872491277</v>
      </c>
      <c r="BC13" s="25">
        <f ca="1">BB13+'(Other Computations)'!B8*(BB9-BB13)/Inputs!B35/12</f>
        <v>933527.21063965699</v>
      </c>
      <c r="BD13" s="25">
        <f ca="1">BC13+'(Other Computations)'!B8*(BC9-BC13)/Inputs!B35/12</f>
        <v>933558.23705129977</v>
      </c>
      <c r="BE13" s="25">
        <f ca="1">BD13+'(Other Computations)'!B8*(BD9-BD13)/Inputs!B35/12</f>
        <v>933612.41945669078</v>
      </c>
      <c r="BF13" s="25">
        <f ca="1">BE13+'(Other Computations)'!B8*(BE9-BE13)/Inputs!B35/12</f>
        <v>933599.38341534708</v>
      </c>
      <c r="BG13" s="25">
        <f ca="1">BF13+'(Other Computations)'!B8*(BF9-BF13)/Inputs!B35/12</f>
        <v>933702.25150519214</v>
      </c>
      <c r="BH13" s="25">
        <f ca="1">BG13+'(Other Computations)'!B8*(BG9-BG13)/Inputs!B35/12</f>
        <v>933671.73993408971</v>
      </c>
      <c r="BI13" s="25">
        <f ca="1">BH13+'(Other Computations)'!B8*(BH9-BH13)/Inputs!B35/12</f>
        <v>933645.41192301456</v>
      </c>
      <c r="BJ13" s="25">
        <f ca="1">BI13+'(Other Computations)'!B8*(BI9-BI13)/Inputs!B35/12</f>
        <v>933589.35448201874</v>
      </c>
      <c r="BK13" s="25">
        <f ca="1">BJ13+'(Other Computations)'!B8*(BJ9-BJ13)/Inputs!B35/12</f>
        <v>933561.17280634923</v>
      </c>
      <c r="BL13" s="25">
        <f ca="1">BK13+'(Other Computations)'!B8*(BK9-BK13)/Inputs!B35/12</f>
        <v>933604.23188466392</v>
      </c>
      <c r="BM13" s="25">
        <f ca="1">BL13+'(Other Computations)'!B8*(BL9-BL13)/Inputs!B35/12</f>
        <v>933664.05043940316</v>
      </c>
      <c r="BN13" s="26">
        <f ca="1">SUM(BB13:BM13)</f>
        <v>11203262.472262638</v>
      </c>
      <c r="BO13" s="25">
        <f ca="1">BM13+'(Other Computations)'!B8*(BM9-BM13)/Inputs!B35/12</f>
        <v>933669.13268355478</v>
      </c>
      <c r="BP13" s="25">
        <f ca="1">BO13+'(Other Computations)'!B8*(BO9-BO13)/Inputs!B35/12</f>
        <v>933659.43808126287</v>
      </c>
      <c r="BQ13" s="25">
        <f ca="1">BP13+'(Other Computations)'!B8*(BP9-BP13)/Inputs!B35/12</f>
        <v>933597.17772354046</v>
      </c>
      <c r="BR13" s="25">
        <f ca="1">BQ13+'(Other Computations)'!B8*(BQ9-BQ13)/Inputs!B35/12</f>
        <v>933617.29127219343</v>
      </c>
      <c r="BS13" s="25">
        <f ca="1">BR13+'(Other Computations)'!B8*(BR9-BR13)/Inputs!B35/12</f>
        <v>933551.94662785192</v>
      </c>
      <c r="BT13" s="25">
        <f ca="1">BS13+'(Other Computations)'!B8*(BS9-BS13)/Inputs!B35/12</f>
        <v>933633.81348120887</v>
      </c>
      <c r="BU13" s="25">
        <f ca="1">BT13+'(Other Computations)'!B8*(BT9-BT13)/Inputs!B35/12</f>
        <v>933627.84379611898</v>
      </c>
      <c r="BV13" s="25">
        <f ca="1">BU13+'(Other Computations)'!B8*(BU9-BU13)/Inputs!B35/12</f>
        <v>933593.32047417236</v>
      </c>
      <c r="BW13" s="25">
        <f ca="1">BV13+'(Other Computations)'!B8*(BV9-BV13)/Inputs!B35/12</f>
        <v>933572.65695467952</v>
      </c>
      <c r="BX13" s="25">
        <f ca="1">BW13+'(Other Computations)'!B8*(BW9-BW13)/Inputs!B35/12</f>
        <v>933598.81921887328</v>
      </c>
      <c r="BY13" s="25">
        <f ca="1">BX13+'(Other Computations)'!B8*(BX9-BX13)/Inputs!B35/12</f>
        <v>933585.82788109872</v>
      </c>
      <c r="BZ13" s="25">
        <f ca="1">BY13+'(Other Computations)'!B8*(BY9-BY13)/Inputs!B35/12</f>
        <v>933700.42378233292</v>
      </c>
      <c r="CA13" s="26">
        <f ca="1">SUM(BO13:BZ13)</f>
        <v>11203407.69197689</v>
      </c>
      <c r="CB13" s="25">
        <f ca="1">BZ13+'(Other Computations)'!B8*(BZ9-BZ13)/Inputs!B35/12</f>
        <v>933798.78350850171</v>
      </c>
      <c r="CC13" s="25">
        <f ca="1">CB13+'(Other Computations)'!B8*(CB9-CB13)/Inputs!B35/12</f>
        <v>933740.14949400432</v>
      </c>
      <c r="CD13" s="25">
        <f ca="1">CC13+'(Other Computations)'!B8*(CC9-CC13)/Inputs!B35/12</f>
        <v>933769.02615003358</v>
      </c>
      <c r="CE13" s="25">
        <f ca="1">CD13+'(Other Computations)'!B8*(CD9-CD13)/Inputs!B35/12</f>
        <v>933788.91406833357</v>
      </c>
      <c r="CF13" s="25">
        <f ca="1">CE13+'(Other Computations)'!B8*(CE9-CE13)/Inputs!B35/12</f>
        <v>933857.24704289704</v>
      </c>
      <c r="CG13" s="25">
        <f ca="1">CF13+'(Other Computations)'!B8*(CF9-CF13)/Inputs!B35/12</f>
        <v>933893.57489260193</v>
      </c>
      <c r="CH13" s="25">
        <f ca="1">CG13+'(Other Computations)'!B8*(CG9-CG13)/Inputs!B35/12</f>
        <v>933880.41475616128</v>
      </c>
      <c r="CI13" s="25">
        <f ca="1">CH13+'(Other Computations)'!B8*(CH9-CH13)/Inputs!B35/12</f>
        <v>933820.48549829971</v>
      </c>
      <c r="CJ13" s="25">
        <f ca="1">CI13+'(Other Computations)'!B8*(CI9-CI13)/Inputs!B35/12</f>
        <v>933754.59088069538</v>
      </c>
      <c r="CK13" s="25">
        <f ca="1">CJ13+'(Other Computations)'!B8*(CJ9-CJ13)/Inputs!B35/12</f>
        <v>933754.43833444186</v>
      </c>
      <c r="CL13" s="25">
        <f ca="1">CK13+'(Other Computations)'!B8*(CK9-CK13)/Inputs!B35/12</f>
        <v>933821.86353627383</v>
      </c>
      <c r="CM13" s="25">
        <f ca="1">CL13+'(Other Computations)'!B8*(CL9-CL13)/Inputs!B35/12</f>
        <v>933848.85555884091</v>
      </c>
      <c r="CN13" s="26">
        <f ca="1">SUM(CB13:CM13)</f>
        <v>11205728.343721086</v>
      </c>
      <c r="CO13" s="25">
        <f ca="1">CM13+'(Other Computations)'!B8*(CM9-CM13)/Inputs!B35/12</f>
        <v>933957.97637754271</v>
      </c>
      <c r="CP13" s="25">
        <f ca="1">CO13+'(Other Computations)'!B8*(CO9-CO13)/Inputs!B35/12</f>
        <v>933901.57952064869</v>
      </c>
      <c r="CQ13" s="25">
        <f ca="1">CP13+'(Other Computations)'!B8*(CP9-CP13)/Inputs!B35/12</f>
        <v>933818.30767674057</v>
      </c>
      <c r="CR13" s="25">
        <f ca="1">CQ13+'(Other Computations)'!B8*(CQ9-CQ13)/Inputs!B35/12</f>
        <v>933853.99405670597</v>
      </c>
      <c r="CS13" s="25">
        <f ca="1">CR13+'(Other Computations)'!B8*(CR9-CR13)/Inputs!B35/12</f>
        <v>933912.91109878966</v>
      </c>
      <c r="CT13" s="25">
        <f ca="1">CS13+'(Other Computations)'!B8*(CS9-CS13)/Inputs!B35/12</f>
        <v>933934.34074017219</v>
      </c>
      <c r="CU13" s="25">
        <f ca="1">CT13+'(Other Computations)'!B8*(CT9-CT13)/Inputs!B35/12</f>
        <v>933980.9495648864</v>
      </c>
      <c r="CV13" s="25">
        <f ca="1">CU13+'(Other Computations)'!B8*(CU9-CU13)/Inputs!B35/12</f>
        <v>933911.87006295065</v>
      </c>
      <c r="CW13" s="25">
        <f ca="1">CV13+'(Other Computations)'!B8*(CV9-CV13)/Inputs!B35/12</f>
        <v>933804.91960903758</v>
      </c>
      <c r="CX13" s="25">
        <f ca="1">CW13+'(Other Computations)'!B8*(CW9-CW13)/Inputs!B35/12</f>
        <v>933731.16125119966</v>
      </c>
      <c r="CY13" s="25">
        <f ca="1">CX13+'(Other Computations)'!B8*(CX9-CX13)/Inputs!B35/12</f>
        <v>933670.29834820249</v>
      </c>
      <c r="CZ13" s="25">
        <f ca="1">CY13+'(Other Computations)'!B8*(CY9-CY13)/Inputs!B35/12</f>
        <v>933645.00612119376</v>
      </c>
      <c r="DA13" s="26">
        <f ca="1">SUM(CO13:CZ13)</f>
        <v>11206123.314428072</v>
      </c>
      <c r="DB13" s="25">
        <f ca="1">CZ13+'(Other Computations)'!B8*(CZ9-CZ13)/Inputs!B35/12</f>
        <v>933622.31793010305</v>
      </c>
      <c r="DC13" s="25">
        <f ca="1">DB13+'(Other Computations)'!B8*(DB9-DB13)/Inputs!B35/12</f>
        <v>933670.40700694849</v>
      </c>
      <c r="DD13" s="25">
        <f ca="1">DC13+'(Other Computations)'!B8*(DC9-DC13)/Inputs!B35/12</f>
        <v>933683.96649536688</v>
      </c>
      <c r="DE13" s="25">
        <f ca="1">DD13+'(Other Computations)'!B8*(DD9-DD13)/Inputs!B35/12</f>
        <v>933659.48420149344</v>
      </c>
      <c r="DF13" s="25">
        <f ca="1">DE13+'(Other Computations)'!B8*(DE9-DE13)/Inputs!B35/12</f>
        <v>933678.56716599874</v>
      </c>
      <c r="DG13" s="25">
        <f ca="1">DF13+'(Other Computations)'!B8*(DF9-DF13)/Inputs!B35/12</f>
        <v>933608.21015952842</v>
      </c>
      <c r="DH13" s="25">
        <f ca="1">DG13+'(Other Computations)'!B8*(DG9-DG13)/Inputs!B35/12</f>
        <v>933619.21981606784</v>
      </c>
      <c r="DI13" s="25">
        <f ca="1">DH13+'(Other Computations)'!B8*(DH9-DH13)/Inputs!B35/12</f>
        <v>933618.66066942958</v>
      </c>
      <c r="DJ13" s="25">
        <f ca="1">DI13+'(Other Computations)'!B8*(DI9-DI13)/Inputs!B35/12</f>
        <v>933517.98945839179</v>
      </c>
      <c r="DK13" s="25">
        <f ca="1">DJ13+'(Other Computations)'!B8*(DJ9-DJ13)/Inputs!B35/12</f>
        <v>933511.60830369382</v>
      </c>
      <c r="DL13" s="25">
        <f ca="1">DK13+'(Other Computations)'!B8*(DK9-DK13)/Inputs!B35/12</f>
        <v>933562.95324304781</v>
      </c>
      <c r="DM13" s="25">
        <f ca="1">DL13+'(Other Computations)'!B8*(DL9-DL13)/Inputs!B35/12</f>
        <v>933638.03882521018</v>
      </c>
      <c r="DN13" s="26">
        <f ca="1">SUM(DB13:DM13)</f>
        <v>11203391.423275279</v>
      </c>
      <c r="DO13" s="25">
        <f ca="1">DM13+'(Other Computations)'!B8*(DM9-DM13)/Inputs!B35/12</f>
        <v>933642.83037026075</v>
      </c>
      <c r="DP13" s="25">
        <f ca="1">DO13+'(Other Computations)'!B8*(DO9-DO13)/Inputs!B35/12</f>
        <v>933634.91114568</v>
      </c>
      <c r="DQ13" s="25">
        <f ca="1">DP13+'(Other Computations)'!B8*(DP9-DP13)/Inputs!B35/12</f>
        <v>933661.59161848971</v>
      </c>
      <c r="DR13" s="25">
        <f ca="1">DQ13+'(Other Computations)'!B8*(DQ9-DQ13)/Inputs!B35/12</f>
        <v>933575.30551005539</v>
      </c>
      <c r="DS13" s="25">
        <f ca="1">DR13+'(Other Computations)'!B8*(DR9-DR13)/Inputs!B35/12</f>
        <v>933523.38225373486</v>
      </c>
      <c r="DT13" s="25">
        <f ca="1">DS13+'(Other Computations)'!B8*(DS9-DS13)/Inputs!B35/12</f>
        <v>933543.68247857946</v>
      </c>
      <c r="DU13" s="25">
        <f ca="1">DT13+'(Other Computations)'!B8*(DT9-DT13)/Inputs!B35/12</f>
        <v>933552.761894339</v>
      </c>
      <c r="DV13" s="25">
        <f ca="1">DU13+'(Other Computations)'!B8*(DU9-DU13)/Inputs!B35/12</f>
        <v>933440.61027058598</v>
      </c>
      <c r="DW13" s="25">
        <f ca="1">DV13+'(Other Computations)'!B8*(DV9-DV13)/Inputs!B35/12</f>
        <v>933494.03824535199</v>
      </c>
      <c r="DX13" s="25">
        <f ca="1">DW13+'(Other Computations)'!B8*(DW9-DW13)/Inputs!B35/12</f>
        <v>933477.18948493956</v>
      </c>
      <c r="DY13" s="25">
        <f ca="1">DX13+'(Other Computations)'!B8*(DX9-DX13)/Inputs!B35/12</f>
        <v>933380.98365415505</v>
      </c>
      <c r="DZ13" s="25">
        <f ca="1">DY13+'(Other Computations)'!B8*(DY9-DY13)/Inputs!B35/12</f>
        <v>933483.19958465127</v>
      </c>
      <c r="EA13" s="26">
        <f ca="1">SUM(DO13:DZ13)</f>
        <v>11202410.486510823</v>
      </c>
      <c r="EB13" s="25">
        <f ca="1">DZ13+'(Other Computations)'!B8*(DZ9-DZ13)/Inputs!B35/12</f>
        <v>933504.48659064481</v>
      </c>
      <c r="EC13" s="25">
        <f ca="1">EB13+'(Other Computations)'!B8*(EB9-EB13)/Inputs!B35/12</f>
        <v>933528.56779226009</v>
      </c>
      <c r="ED13" s="25">
        <f ca="1">EC13+'(Other Computations)'!B8*(EC9-EC13)/Inputs!B35/12</f>
        <v>933558.27828138834</v>
      </c>
      <c r="EE13" s="25">
        <f ca="1">ED13+'(Other Computations)'!B8*(ED9-ED13)/Inputs!B35/12</f>
        <v>933507.50408039358</v>
      </c>
      <c r="EF13" s="25">
        <f ca="1">EE13+'(Other Computations)'!B8*(EE9-EE13)/Inputs!B35/12</f>
        <v>933434.51537927252</v>
      </c>
      <c r="EG13" s="25">
        <f ca="1">EF13+'(Other Computations)'!B8*(EF9-EF13)/Inputs!B35/12</f>
        <v>933490.3256842494</v>
      </c>
      <c r="EH13" s="25">
        <f ca="1">EG13+'(Other Computations)'!B8*(EG9-EG13)/Inputs!B35/12</f>
        <v>933492.15968744643</v>
      </c>
      <c r="EI13" s="25">
        <f ca="1">EH13+'(Other Computations)'!B8*(EH9-EH13)/Inputs!B35/12</f>
        <v>933517.61096868571</v>
      </c>
      <c r="EJ13" s="25">
        <f ca="1">EI13+'(Other Computations)'!B8*(EI9-EI13)/Inputs!B35/12</f>
        <v>933596.81844724505</v>
      </c>
      <c r="EK13" s="25">
        <f ca="1">EJ13+'(Other Computations)'!B8*(EJ9-EJ13)/Inputs!B35/12</f>
        <v>933537.94127347239</v>
      </c>
      <c r="EL13" s="25">
        <f ca="1">EK13+'(Other Computations)'!B8*(EK9-EK13)/Inputs!B35/12</f>
        <v>933534.03714765271</v>
      </c>
      <c r="EM13" s="25">
        <f ca="1">EL13+'(Other Computations)'!B8*(EL9-EL13)/Inputs!B35/12</f>
        <v>933602.60623419995</v>
      </c>
      <c r="EN13" s="26">
        <f ca="1">SUM(EB13:EM13)</f>
        <v>11202304.851566911</v>
      </c>
    </row>
    <row r="14" spans="1:144" ht="12.75" customHeight="1" x14ac:dyDescent="0.2">
      <c r="A14" s="5"/>
      <c r="B14" s="24"/>
      <c r="C14" s="24"/>
      <c r="D14" s="24"/>
      <c r="E14" s="24"/>
      <c r="F14" s="24"/>
      <c r="G14" s="24"/>
      <c r="H14" s="24"/>
      <c r="I14" s="24"/>
      <c r="J14" s="24"/>
      <c r="K14" s="24"/>
      <c r="L14" s="24"/>
      <c r="M14" s="24"/>
      <c r="N14" s="5"/>
      <c r="O14" s="24"/>
      <c r="P14" s="24"/>
      <c r="Q14" s="24"/>
      <c r="R14" s="24"/>
      <c r="S14" s="24"/>
      <c r="T14" s="24"/>
      <c r="U14" s="24"/>
      <c r="V14" s="24"/>
      <c r="W14" s="24"/>
      <c r="X14" s="24"/>
      <c r="Y14" s="24"/>
      <c r="Z14" s="24"/>
      <c r="AA14" s="5"/>
      <c r="AB14" s="24"/>
      <c r="AC14" s="24"/>
      <c r="AD14" s="24"/>
      <c r="AE14" s="24"/>
      <c r="AF14" s="24"/>
      <c r="AG14" s="24"/>
      <c r="AH14" s="24"/>
      <c r="AI14" s="24"/>
      <c r="AJ14" s="24"/>
      <c r="AK14" s="24"/>
      <c r="AL14" s="24"/>
      <c r="AM14" s="24"/>
      <c r="AN14" s="5"/>
      <c r="AO14" s="24"/>
      <c r="AP14" s="24"/>
      <c r="AQ14" s="24"/>
      <c r="AR14" s="24"/>
      <c r="AS14" s="24"/>
      <c r="AT14" s="24"/>
      <c r="AU14" s="24"/>
      <c r="AV14" s="24"/>
      <c r="AW14" s="24"/>
      <c r="AX14" s="24"/>
      <c r="AY14" s="24"/>
      <c r="AZ14" s="24"/>
      <c r="BA14" s="5"/>
      <c r="BB14" s="24"/>
      <c r="BC14" s="24"/>
      <c r="BD14" s="24"/>
      <c r="BE14" s="24"/>
      <c r="BF14" s="24"/>
      <c r="BG14" s="24"/>
      <c r="BH14" s="24"/>
      <c r="BI14" s="24"/>
      <c r="BJ14" s="24"/>
      <c r="BK14" s="24"/>
      <c r="BL14" s="24"/>
      <c r="BM14" s="24"/>
      <c r="BN14" s="5"/>
      <c r="BO14" s="24"/>
      <c r="BP14" s="24"/>
      <c r="BQ14" s="24"/>
      <c r="BR14" s="24"/>
      <c r="BS14" s="24"/>
      <c r="BT14" s="24"/>
      <c r="BU14" s="24"/>
      <c r="BV14" s="24"/>
      <c r="BW14" s="24"/>
      <c r="BX14" s="24"/>
      <c r="BY14" s="24"/>
      <c r="BZ14" s="24"/>
      <c r="CA14" s="5"/>
      <c r="CB14" s="24"/>
      <c r="CC14" s="24"/>
      <c r="CD14" s="24"/>
      <c r="CE14" s="24"/>
      <c r="CF14" s="24"/>
      <c r="CG14" s="24"/>
      <c r="CH14" s="24"/>
      <c r="CI14" s="24"/>
      <c r="CJ14" s="24"/>
      <c r="CK14" s="24"/>
      <c r="CL14" s="24"/>
      <c r="CM14" s="24"/>
      <c r="CN14" s="5"/>
      <c r="CO14" s="24"/>
      <c r="CP14" s="24"/>
      <c r="CQ14" s="24"/>
      <c r="CR14" s="24"/>
      <c r="CS14" s="24"/>
      <c r="CT14" s="24"/>
      <c r="CU14" s="24"/>
      <c r="CV14" s="24"/>
      <c r="CW14" s="24"/>
      <c r="CX14" s="24"/>
      <c r="CY14" s="24"/>
      <c r="CZ14" s="24"/>
      <c r="DA14" s="5"/>
      <c r="DB14" s="24"/>
      <c r="DC14" s="24"/>
      <c r="DD14" s="24"/>
      <c r="DE14" s="24"/>
      <c r="DF14" s="24"/>
      <c r="DG14" s="24"/>
      <c r="DH14" s="24"/>
      <c r="DI14" s="24"/>
      <c r="DJ14" s="24"/>
      <c r="DK14" s="24"/>
      <c r="DL14" s="24"/>
      <c r="DM14" s="24"/>
      <c r="DN14" s="5"/>
      <c r="DO14" s="24"/>
      <c r="DP14" s="24"/>
      <c r="DQ14" s="24"/>
      <c r="DR14" s="24"/>
      <c r="DS14" s="24"/>
      <c r="DT14" s="24"/>
      <c r="DU14" s="24"/>
      <c r="DV14" s="24"/>
      <c r="DW14" s="24"/>
      <c r="DX14" s="24"/>
      <c r="DY14" s="24"/>
      <c r="DZ14" s="24"/>
      <c r="EA14" s="5"/>
      <c r="EB14" s="24"/>
      <c r="EC14" s="24"/>
      <c r="ED14" s="24"/>
      <c r="EE14" s="24"/>
      <c r="EF14" s="24"/>
      <c r="EG14" s="24"/>
      <c r="EH14" s="24"/>
      <c r="EI14" s="24"/>
      <c r="EJ14" s="24"/>
      <c r="EK14" s="24"/>
      <c r="EL14" s="24"/>
      <c r="EM14" s="24"/>
      <c r="EN14" s="5"/>
    </row>
    <row r="15" spans="1:144" ht="12.75" customHeight="1" x14ac:dyDescent="0.2">
      <c r="A15" s="11" t="str">
        <f>Labels!B29</f>
        <v>Gov Spending</v>
      </c>
      <c r="B15" s="25">
        <f>Demand!B17</f>
        <v>233333.33333333337</v>
      </c>
      <c r="C15" s="25">
        <f>Demand!C17</f>
        <v>233333.33333333337</v>
      </c>
      <c r="D15" s="25">
        <f>Demand!D17</f>
        <v>233333.33333333337</v>
      </c>
      <c r="E15" s="25">
        <f>Demand!E17</f>
        <v>233333.33333333337</v>
      </c>
      <c r="F15" s="25">
        <f>Demand!F17</f>
        <v>233333.33333333337</v>
      </c>
      <c r="G15" s="25">
        <f>Demand!G17</f>
        <v>233333.33333333337</v>
      </c>
      <c r="H15" s="25">
        <f>Demand!H17</f>
        <v>233333.33333333337</v>
      </c>
      <c r="I15" s="25">
        <f>Demand!I17</f>
        <v>233333.33333333337</v>
      </c>
      <c r="J15" s="25">
        <f>Demand!J17</f>
        <v>233333.33333333337</v>
      </c>
      <c r="K15" s="25">
        <f>Demand!K17</f>
        <v>233333.33333333337</v>
      </c>
      <c r="L15" s="25">
        <f>Demand!L17</f>
        <v>233333.33333333337</v>
      </c>
      <c r="M15" s="25">
        <f>Demand!M17</f>
        <v>233333.33333333337</v>
      </c>
      <c r="N15" s="26">
        <f>SUM(Demand!B17:M17)</f>
        <v>2800000.0000000014</v>
      </c>
      <c r="O15" s="25">
        <f>Demand!O17</f>
        <v>233333.33333333337</v>
      </c>
      <c r="P15" s="25">
        <f>Demand!P17</f>
        <v>233333.33333333337</v>
      </c>
      <c r="Q15" s="25">
        <f>Demand!Q17</f>
        <v>233333.33333333337</v>
      </c>
      <c r="R15" s="25">
        <f>Demand!R17</f>
        <v>233333.33333333337</v>
      </c>
      <c r="S15" s="25">
        <f>Demand!S17</f>
        <v>233333.33333333337</v>
      </c>
      <c r="T15" s="25">
        <f>Demand!T17</f>
        <v>233333.33333333337</v>
      </c>
      <c r="U15" s="25">
        <f>Demand!U17</f>
        <v>233333.33333333337</v>
      </c>
      <c r="V15" s="25">
        <f>Demand!V17</f>
        <v>233333.33333333337</v>
      </c>
      <c r="W15" s="25">
        <f>Demand!W17</f>
        <v>233333.33333333337</v>
      </c>
      <c r="X15" s="25">
        <f>Demand!X17</f>
        <v>233333.33333333337</v>
      </c>
      <c r="Y15" s="25">
        <f>Demand!Y17</f>
        <v>233333.33333333337</v>
      </c>
      <c r="Z15" s="25">
        <f>Demand!Z17</f>
        <v>233333.33333333337</v>
      </c>
      <c r="AA15" s="26">
        <f>SUM(Demand!O17:Z17)</f>
        <v>2800000.0000000014</v>
      </c>
      <c r="AB15" s="25">
        <f>Demand!AB17</f>
        <v>233333.33333333337</v>
      </c>
      <c r="AC15" s="25">
        <f>Demand!AC17</f>
        <v>233333.33333333337</v>
      </c>
      <c r="AD15" s="25">
        <f>Demand!AD17</f>
        <v>233333.33333333337</v>
      </c>
      <c r="AE15" s="25">
        <f>Demand!AE17</f>
        <v>233333.33333333337</v>
      </c>
      <c r="AF15" s="25">
        <f>Demand!AF17</f>
        <v>233333.33333333337</v>
      </c>
      <c r="AG15" s="25">
        <f>Demand!AG17</f>
        <v>233333.33333333337</v>
      </c>
      <c r="AH15" s="25">
        <f>Demand!AH17</f>
        <v>233333.33333333337</v>
      </c>
      <c r="AI15" s="25">
        <f>Demand!AI17</f>
        <v>233333.33333333337</v>
      </c>
      <c r="AJ15" s="25">
        <f>Demand!AJ17</f>
        <v>233333.33333333337</v>
      </c>
      <c r="AK15" s="25">
        <f>Demand!AK17</f>
        <v>233333.33333333337</v>
      </c>
      <c r="AL15" s="25">
        <f>Demand!AL17</f>
        <v>233333.33333333337</v>
      </c>
      <c r="AM15" s="25">
        <f>Demand!AM17</f>
        <v>233333.33333333337</v>
      </c>
      <c r="AN15" s="26">
        <f>SUM(Demand!AB17:AM17)</f>
        <v>2800000.0000000014</v>
      </c>
      <c r="AO15" s="25">
        <f>Demand!AO17</f>
        <v>233333.33333333337</v>
      </c>
      <c r="AP15" s="25">
        <f>Demand!AP17</f>
        <v>233333.33333333337</v>
      </c>
      <c r="AQ15" s="25">
        <f>Demand!AQ17</f>
        <v>233333.33333333337</v>
      </c>
      <c r="AR15" s="25">
        <f>Demand!AR17</f>
        <v>233333.33333333337</v>
      </c>
      <c r="AS15" s="25">
        <f>Demand!AS17</f>
        <v>233333.33333333337</v>
      </c>
      <c r="AT15" s="25">
        <f>Demand!AT17</f>
        <v>233333.33333333337</v>
      </c>
      <c r="AU15" s="25">
        <f>Demand!AU17</f>
        <v>233333.33333333337</v>
      </c>
      <c r="AV15" s="25">
        <f>Demand!AV17</f>
        <v>233333.33333333337</v>
      </c>
      <c r="AW15" s="25">
        <f>Demand!AW17</f>
        <v>233333.33333333337</v>
      </c>
      <c r="AX15" s="25">
        <f>Demand!AX17</f>
        <v>233333.33333333337</v>
      </c>
      <c r="AY15" s="25">
        <f>Demand!AY17</f>
        <v>233333.33333333337</v>
      </c>
      <c r="AZ15" s="25">
        <f>Demand!AZ17</f>
        <v>233333.33333333337</v>
      </c>
      <c r="BA15" s="26">
        <f>SUM(Demand!AO17:AZ17)</f>
        <v>2800000.0000000014</v>
      </c>
      <c r="BB15" s="25">
        <f>Demand!BB17</f>
        <v>233333.33333333337</v>
      </c>
      <c r="BC15" s="25">
        <f>Demand!BC17</f>
        <v>233333.33333333337</v>
      </c>
      <c r="BD15" s="25">
        <f>Demand!BD17</f>
        <v>233333.33333333337</v>
      </c>
      <c r="BE15" s="25">
        <f>Demand!BE17</f>
        <v>233333.33333333337</v>
      </c>
      <c r="BF15" s="25">
        <f>Demand!BF17</f>
        <v>233333.33333333337</v>
      </c>
      <c r="BG15" s="25">
        <f>Demand!BG17</f>
        <v>233333.33333333337</v>
      </c>
      <c r="BH15" s="25">
        <f>Demand!BH17</f>
        <v>233333.33333333337</v>
      </c>
      <c r="BI15" s="25">
        <f>Demand!BI17</f>
        <v>233333.33333333337</v>
      </c>
      <c r="BJ15" s="25">
        <f>Demand!BJ17</f>
        <v>233333.33333333337</v>
      </c>
      <c r="BK15" s="25">
        <f>Demand!BK17</f>
        <v>233333.33333333337</v>
      </c>
      <c r="BL15" s="25">
        <f>Demand!BL17</f>
        <v>233333.33333333337</v>
      </c>
      <c r="BM15" s="25">
        <f>Demand!BM17</f>
        <v>233333.33333333337</v>
      </c>
      <c r="BN15" s="26">
        <f>SUM(Demand!BB17:BM17)</f>
        <v>2800000.0000000014</v>
      </c>
      <c r="BO15" s="25">
        <f>Demand!BO17</f>
        <v>233333.33333333337</v>
      </c>
      <c r="BP15" s="25">
        <f>Demand!BP17</f>
        <v>233333.33333333337</v>
      </c>
      <c r="BQ15" s="25">
        <f>Demand!BQ17</f>
        <v>233333.33333333337</v>
      </c>
      <c r="BR15" s="25">
        <f>Demand!BR17</f>
        <v>233333.33333333337</v>
      </c>
      <c r="BS15" s="25">
        <f>Demand!BS17</f>
        <v>233333.33333333337</v>
      </c>
      <c r="BT15" s="25">
        <f>Demand!BT17</f>
        <v>233333.33333333337</v>
      </c>
      <c r="BU15" s="25">
        <f>Demand!BU17</f>
        <v>233333.33333333337</v>
      </c>
      <c r="BV15" s="25">
        <f>Demand!BV17</f>
        <v>233333.33333333337</v>
      </c>
      <c r="BW15" s="25">
        <f>Demand!BW17</f>
        <v>233333.33333333337</v>
      </c>
      <c r="BX15" s="25">
        <f>Demand!BX17</f>
        <v>233333.33333333337</v>
      </c>
      <c r="BY15" s="25">
        <f>Demand!BY17</f>
        <v>233333.33333333337</v>
      </c>
      <c r="BZ15" s="25">
        <f>Demand!BZ17</f>
        <v>233333.33333333337</v>
      </c>
      <c r="CA15" s="26">
        <f>SUM(Demand!BO17:BZ17)</f>
        <v>2800000.0000000014</v>
      </c>
      <c r="CB15" s="25">
        <f>Demand!CB17</f>
        <v>233333.33333333337</v>
      </c>
      <c r="CC15" s="25">
        <f>Demand!CC17</f>
        <v>233333.33333333337</v>
      </c>
      <c r="CD15" s="25">
        <f>Demand!CD17</f>
        <v>233333.33333333337</v>
      </c>
      <c r="CE15" s="25">
        <f>Demand!CE17</f>
        <v>233333.33333333337</v>
      </c>
      <c r="CF15" s="25">
        <f>Demand!CF17</f>
        <v>233333.33333333337</v>
      </c>
      <c r="CG15" s="25">
        <f>Demand!CG17</f>
        <v>233333.33333333337</v>
      </c>
      <c r="CH15" s="25">
        <f>Demand!CH17</f>
        <v>233333.33333333337</v>
      </c>
      <c r="CI15" s="25">
        <f>Demand!CI17</f>
        <v>233333.33333333337</v>
      </c>
      <c r="CJ15" s="25">
        <f>Demand!CJ17</f>
        <v>233333.33333333337</v>
      </c>
      <c r="CK15" s="25">
        <f>Demand!CK17</f>
        <v>233333.33333333337</v>
      </c>
      <c r="CL15" s="25">
        <f>Demand!CL17</f>
        <v>233333.33333333337</v>
      </c>
      <c r="CM15" s="25">
        <f>Demand!CM17</f>
        <v>233333.33333333337</v>
      </c>
      <c r="CN15" s="26">
        <f>SUM(Demand!CB17:CM17)</f>
        <v>2800000.0000000014</v>
      </c>
      <c r="CO15" s="25">
        <f>Demand!CO17</f>
        <v>233333.33333333337</v>
      </c>
      <c r="CP15" s="25">
        <f>Demand!CP17</f>
        <v>233333.33333333337</v>
      </c>
      <c r="CQ15" s="25">
        <f>Demand!CQ17</f>
        <v>233333.33333333337</v>
      </c>
      <c r="CR15" s="25">
        <f>Demand!CR17</f>
        <v>233333.33333333337</v>
      </c>
      <c r="CS15" s="25">
        <f>Demand!CS17</f>
        <v>233333.33333333337</v>
      </c>
      <c r="CT15" s="25">
        <f>Demand!CT17</f>
        <v>233333.33333333337</v>
      </c>
      <c r="CU15" s="25">
        <f>Demand!CU17</f>
        <v>233333.33333333337</v>
      </c>
      <c r="CV15" s="25">
        <f>Demand!CV17</f>
        <v>233333.33333333337</v>
      </c>
      <c r="CW15" s="25">
        <f>Demand!CW17</f>
        <v>233333.33333333337</v>
      </c>
      <c r="CX15" s="25">
        <f>Demand!CX17</f>
        <v>233333.33333333337</v>
      </c>
      <c r="CY15" s="25">
        <f>Demand!CY17</f>
        <v>233333.33333333337</v>
      </c>
      <c r="CZ15" s="25">
        <f>Demand!CZ17</f>
        <v>233333.33333333337</v>
      </c>
      <c r="DA15" s="26">
        <f>SUM(Demand!CO17:CZ17)</f>
        <v>2800000.0000000014</v>
      </c>
      <c r="DB15" s="25">
        <f>Demand!DB17</f>
        <v>233333.33333333337</v>
      </c>
      <c r="DC15" s="25">
        <f>Demand!DC17</f>
        <v>233333.33333333337</v>
      </c>
      <c r="DD15" s="25">
        <f>Demand!DD17</f>
        <v>233333.33333333337</v>
      </c>
      <c r="DE15" s="25">
        <f>Demand!DE17</f>
        <v>233333.33333333337</v>
      </c>
      <c r="DF15" s="25">
        <f>Demand!DF17</f>
        <v>233333.33333333337</v>
      </c>
      <c r="DG15" s="25">
        <f>Demand!DG17</f>
        <v>233333.33333333337</v>
      </c>
      <c r="DH15" s="25">
        <f>Demand!DH17</f>
        <v>233333.33333333337</v>
      </c>
      <c r="DI15" s="25">
        <f>Demand!DI17</f>
        <v>233333.33333333337</v>
      </c>
      <c r="DJ15" s="25">
        <f>Demand!DJ17</f>
        <v>233333.33333333337</v>
      </c>
      <c r="DK15" s="25">
        <f>Demand!DK17</f>
        <v>233333.33333333337</v>
      </c>
      <c r="DL15" s="25">
        <f>Demand!DL17</f>
        <v>233333.33333333337</v>
      </c>
      <c r="DM15" s="25">
        <f>Demand!DM17</f>
        <v>233333.33333333337</v>
      </c>
      <c r="DN15" s="26">
        <f>SUM(Demand!DB17:DM17)</f>
        <v>2800000.0000000014</v>
      </c>
      <c r="DO15" s="25">
        <f>Demand!DO17</f>
        <v>233333.33333333337</v>
      </c>
      <c r="DP15" s="25">
        <f>Demand!DP17</f>
        <v>233333.33333333337</v>
      </c>
      <c r="DQ15" s="25">
        <f>Demand!DQ17</f>
        <v>233333.33333333337</v>
      </c>
      <c r="DR15" s="25">
        <f>Demand!DR17</f>
        <v>233333.33333333337</v>
      </c>
      <c r="DS15" s="25">
        <f>Demand!DS17</f>
        <v>233333.33333333337</v>
      </c>
      <c r="DT15" s="25">
        <f>Demand!DT17</f>
        <v>233333.33333333337</v>
      </c>
      <c r="DU15" s="25">
        <f>Demand!DU17</f>
        <v>233333.33333333337</v>
      </c>
      <c r="DV15" s="25">
        <f>Demand!DV17</f>
        <v>233333.33333333337</v>
      </c>
      <c r="DW15" s="25">
        <f>Demand!DW17</f>
        <v>233333.33333333337</v>
      </c>
      <c r="DX15" s="25">
        <f>Demand!DX17</f>
        <v>233333.33333333337</v>
      </c>
      <c r="DY15" s="25">
        <f>Demand!DY17</f>
        <v>233333.33333333337</v>
      </c>
      <c r="DZ15" s="25">
        <f>Demand!DZ17</f>
        <v>233333.33333333337</v>
      </c>
      <c r="EA15" s="26">
        <f>SUM(Demand!DO17:DZ17)</f>
        <v>2800000.0000000014</v>
      </c>
      <c r="EB15" s="25">
        <f>Demand!EB17</f>
        <v>233333.33333333337</v>
      </c>
      <c r="EC15" s="25">
        <f>Demand!EC17</f>
        <v>233333.33333333337</v>
      </c>
      <c r="ED15" s="25">
        <f>Demand!ED17</f>
        <v>233333.33333333337</v>
      </c>
      <c r="EE15" s="25">
        <f>Demand!EE17</f>
        <v>233333.33333333337</v>
      </c>
      <c r="EF15" s="25">
        <f>Demand!EF17</f>
        <v>233333.33333333337</v>
      </c>
      <c r="EG15" s="25">
        <f>Demand!EG17</f>
        <v>233333.33333333337</v>
      </c>
      <c r="EH15" s="25">
        <f>Demand!EH17</f>
        <v>233333.33333333337</v>
      </c>
      <c r="EI15" s="25">
        <f>Demand!EI17</f>
        <v>233333.33333333337</v>
      </c>
      <c r="EJ15" s="25">
        <f>Demand!EJ17</f>
        <v>233333.33333333337</v>
      </c>
      <c r="EK15" s="25">
        <f>Demand!EK17</f>
        <v>233333.33333333337</v>
      </c>
      <c r="EL15" s="25">
        <f>Demand!EL17</f>
        <v>233333.33333333337</v>
      </c>
      <c r="EM15" s="25">
        <f>Demand!EM17</f>
        <v>233333.33333333337</v>
      </c>
      <c r="EN15" s="26">
        <f>SUM(Demand!EB17:EM17)</f>
        <v>2800000.0000000014</v>
      </c>
    </row>
    <row r="16" spans="1:144" ht="12.75" customHeight="1" x14ac:dyDescent="0.2">
      <c r="A16" s="5"/>
      <c r="B16" s="24"/>
      <c r="C16" s="24"/>
      <c r="D16" s="24"/>
      <c r="E16" s="24"/>
      <c r="F16" s="24"/>
      <c r="G16" s="24"/>
      <c r="H16" s="24"/>
      <c r="I16" s="24"/>
      <c r="J16" s="24"/>
      <c r="K16" s="24"/>
      <c r="L16" s="24"/>
      <c r="M16" s="24"/>
      <c r="N16" s="5"/>
      <c r="O16" s="24"/>
      <c r="P16" s="24"/>
      <c r="Q16" s="24"/>
      <c r="R16" s="24"/>
      <c r="S16" s="24"/>
      <c r="T16" s="24"/>
      <c r="U16" s="24"/>
      <c r="V16" s="24"/>
      <c r="W16" s="24"/>
      <c r="X16" s="24"/>
      <c r="Y16" s="24"/>
      <c r="Z16" s="24"/>
      <c r="AA16" s="5"/>
      <c r="AB16" s="24"/>
      <c r="AC16" s="24"/>
      <c r="AD16" s="24"/>
      <c r="AE16" s="24"/>
      <c r="AF16" s="24"/>
      <c r="AG16" s="24"/>
      <c r="AH16" s="24"/>
      <c r="AI16" s="24"/>
      <c r="AJ16" s="24"/>
      <c r="AK16" s="24"/>
      <c r="AL16" s="24"/>
      <c r="AM16" s="24"/>
      <c r="AN16" s="5"/>
      <c r="AO16" s="24"/>
      <c r="AP16" s="24"/>
      <c r="AQ16" s="24"/>
      <c r="AR16" s="24"/>
      <c r="AS16" s="24"/>
      <c r="AT16" s="24"/>
      <c r="AU16" s="24"/>
      <c r="AV16" s="24"/>
      <c r="AW16" s="24"/>
      <c r="AX16" s="24"/>
      <c r="AY16" s="24"/>
      <c r="AZ16" s="24"/>
      <c r="BA16" s="5"/>
      <c r="BB16" s="24"/>
      <c r="BC16" s="24"/>
      <c r="BD16" s="24"/>
      <c r="BE16" s="24"/>
      <c r="BF16" s="24"/>
      <c r="BG16" s="24"/>
      <c r="BH16" s="24"/>
      <c r="BI16" s="24"/>
      <c r="BJ16" s="24"/>
      <c r="BK16" s="24"/>
      <c r="BL16" s="24"/>
      <c r="BM16" s="24"/>
      <c r="BN16" s="5"/>
      <c r="BO16" s="24"/>
      <c r="BP16" s="24"/>
      <c r="BQ16" s="24"/>
      <c r="BR16" s="24"/>
      <c r="BS16" s="24"/>
      <c r="BT16" s="24"/>
      <c r="BU16" s="24"/>
      <c r="BV16" s="24"/>
      <c r="BW16" s="24"/>
      <c r="BX16" s="24"/>
      <c r="BY16" s="24"/>
      <c r="BZ16" s="24"/>
      <c r="CA16" s="5"/>
      <c r="CB16" s="24"/>
      <c r="CC16" s="24"/>
      <c r="CD16" s="24"/>
      <c r="CE16" s="24"/>
      <c r="CF16" s="24"/>
      <c r="CG16" s="24"/>
      <c r="CH16" s="24"/>
      <c r="CI16" s="24"/>
      <c r="CJ16" s="24"/>
      <c r="CK16" s="24"/>
      <c r="CL16" s="24"/>
      <c r="CM16" s="24"/>
      <c r="CN16" s="5"/>
      <c r="CO16" s="24"/>
      <c r="CP16" s="24"/>
      <c r="CQ16" s="24"/>
      <c r="CR16" s="24"/>
      <c r="CS16" s="24"/>
      <c r="CT16" s="24"/>
      <c r="CU16" s="24"/>
      <c r="CV16" s="24"/>
      <c r="CW16" s="24"/>
      <c r="CX16" s="24"/>
      <c r="CY16" s="24"/>
      <c r="CZ16" s="24"/>
      <c r="DA16" s="5"/>
      <c r="DB16" s="24"/>
      <c r="DC16" s="24"/>
      <c r="DD16" s="24"/>
      <c r="DE16" s="24"/>
      <c r="DF16" s="24"/>
      <c r="DG16" s="24"/>
      <c r="DH16" s="24"/>
      <c r="DI16" s="24"/>
      <c r="DJ16" s="24"/>
      <c r="DK16" s="24"/>
      <c r="DL16" s="24"/>
      <c r="DM16" s="24"/>
      <c r="DN16" s="5"/>
      <c r="DO16" s="24"/>
      <c r="DP16" s="24"/>
      <c r="DQ16" s="24"/>
      <c r="DR16" s="24"/>
      <c r="DS16" s="24"/>
      <c r="DT16" s="24"/>
      <c r="DU16" s="24"/>
      <c r="DV16" s="24"/>
      <c r="DW16" s="24"/>
      <c r="DX16" s="24"/>
      <c r="DY16" s="24"/>
      <c r="DZ16" s="24"/>
      <c r="EA16" s="5"/>
      <c r="EB16" s="24"/>
      <c r="EC16" s="24"/>
      <c r="ED16" s="24"/>
      <c r="EE16" s="24"/>
      <c r="EF16" s="24"/>
      <c r="EG16" s="24"/>
      <c r="EH16" s="24"/>
      <c r="EI16" s="24"/>
      <c r="EJ16" s="24"/>
      <c r="EK16" s="24"/>
      <c r="EL16" s="24"/>
      <c r="EM16" s="24"/>
      <c r="EN16" s="5"/>
    </row>
    <row r="17" spans="1:144" ht="12.75" customHeight="1" x14ac:dyDescent="0.2">
      <c r="A17" s="9" t="str">
        <f>Labels!B30</f>
        <v>Gov Transfers</v>
      </c>
      <c r="B17" s="27">
        <f>Demand!B19</f>
        <v>116666.66666666669</v>
      </c>
      <c r="C17" s="27">
        <f>Demand!C19</f>
        <v>116666.66666666669</v>
      </c>
      <c r="D17" s="27">
        <f>Demand!D19</f>
        <v>116666.66666666669</v>
      </c>
      <c r="E17" s="27">
        <f>Demand!E19</f>
        <v>116666.66666666669</v>
      </c>
      <c r="F17" s="27">
        <f>Demand!F19</f>
        <v>116666.66666666669</v>
      </c>
      <c r="G17" s="27">
        <f>Demand!G19</f>
        <v>116666.66666666669</v>
      </c>
      <c r="H17" s="27">
        <f>Demand!H19</f>
        <v>116666.66666666669</v>
      </c>
      <c r="I17" s="27">
        <f>Demand!I19</f>
        <v>116666.66666666669</v>
      </c>
      <c r="J17" s="27">
        <f>Demand!J19</f>
        <v>116666.66666666669</v>
      </c>
      <c r="K17" s="27">
        <f>Demand!K19</f>
        <v>116666.66666666669</v>
      </c>
      <c r="L17" s="27">
        <f>Demand!L19</f>
        <v>116666.66666666669</v>
      </c>
      <c r="M17" s="27">
        <f>Demand!M19</f>
        <v>116666.66666666669</v>
      </c>
      <c r="N17" s="28">
        <f>SUM(Demand!B19:M19)</f>
        <v>1400000.0000000007</v>
      </c>
      <c r="O17" s="27">
        <f>Demand!O19</f>
        <v>116666.66666666669</v>
      </c>
      <c r="P17" s="27">
        <f>Demand!P19</f>
        <v>116666.66666666669</v>
      </c>
      <c r="Q17" s="27">
        <f>Demand!Q19</f>
        <v>116666.66666666669</v>
      </c>
      <c r="R17" s="27">
        <f>Demand!R19</f>
        <v>116666.66666666669</v>
      </c>
      <c r="S17" s="27">
        <f>Demand!S19</f>
        <v>116666.66666666669</v>
      </c>
      <c r="T17" s="27">
        <f>Demand!T19</f>
        <v>116666.66666666669</v>
      </c>
      <c r="U17" s="27">
        <f>Demand!U19</f>
        <v>116666.66666666669</v>
      </c>
      <c r="V17" s="27">
        <f>Demand!V19</f>
        <v>116666.66666666669</v>
      </c>
      <c r="W17" s="27">
        <f>Demand!W19</f>
        <v>116666.66666666669</v>
      </c>
      <c r="X17" s="27">
        <f>Demand!X19</f>
        <v>116666.66666666669</v>
      </c>
      <c r="Y17" s="27">
        <f>Demand!Y19</f>
        <v>116666.66666666669</v>
      </c>
      <c r="Z17" s="27">
        <f>Demand!Z19</f>
        <v>116666.66666666669</v>
      </c>
      <c r="AA17" s="28">
        <f>SUM(Demand!O19:Z19)</f>
        <v>1400000.0000000007</v>
      </c>
      <c r="AB17" s="27">
        <f>Demand!AB19</f>
        <v>116666.66666666669</v>
      </c>
      <c r="AC17" s="27">
        <f>Demand!AC19</f>
        <v>116666.66666666669</v>
      </c>
      <c r="AD17" s="27">
        <f>Demand!AD19</f>
        <v>116666.66666666669</v>
      </c>
      <c r="AE17" s="27">
        <f>Demand!AE19</f>
        <v>116666.66666666669</v>
      </c>
      <c r="AF17" s="27">
        <f>Demand!AF19</f>
        <v>116666.66666666669</v>
      </c>
      <c r="AG17" s="27">
        <f>Demand!AG19</f>
        <v>116666.66666666669</v>
      </c>
      <c r="AH17" s="27">
        <f>Demand!AH19</f>
        <v>116666.66666666669</v>
      </c>
      <c r="AI17" s="27">
        <f>Demand!AI19</f>
        <v>116666.66666666669</v>
      </c>
      <c r="AJ17" s="27">
        <f>Demand!AJ19</f>
        <v>116666.66666666669</v>
      </c>
      <c r="AK17" s="27">
        <f>Demand!AK19</f>
        <v>116666.66666666669</v>
      </c>
      <c r="AL17" s="27">
        <f>Demand!AL19</f>
        <v>116666.66666666669</v>
      </c>
      <c r="AM17" s="27">
        <f>Demand!AM19</f>
        <v>116666.66666666669</v>
      </c>
      <c r="AN17" s="28">
        <f>SUM(Demand!AB19:AM19)</f>
        <v>1400000.0000000007</v>
      </c>
      <c r="AO17" s="27">
        <f>Demand!AO19</f>
        <v>116666.66666666669</v>
      </c>
      <c r="AP17" s="27">
        <f>Demand!AP19</f>
        <v>116666.66666666669</v>
      </c>
      <c r="AQ17" s="27">
        <f>Demand!AQ19</f>
        <v>116666.66666666669</v>
      </c>
      <c r="AR17" s="27">
        <f>Demand!AR19</f>
        <v>116666.66666666669</v>
      </c>
      <c r="AS17" s="27">
        <f>Demand!AS19</f>
        <v>116666.66666666669</v>
      </c>
      <c r="AT17" s="27">
        <f>Demand!AT19</f>
        <v>116666.66666666669</v>
      </c>
      <c r="AU17" s="27">
        <f>Demand!AU19</f>
        <v>116666.66666666669</v>
      </c>
      <c r="AV17" s="27">
        <f>Demand!AV19</f>
        <v>116666.66666666669</v>
      </c>
      <c r="AW17" s="27">
        <f>Demand!AW19</f>
        <v>116666.66666666669</v>
      </c>
      <c r="AX17" s="27">
        <f>Demand!AX19</f>
        <v>116666.66666666669</v>
      </c>
      <c r="AY17" s="27">
        <f>Demand!AY19</f>
        <v>116666.66666666669</v>
      </c>
      <c r="AZ17" s="27">
        <f>Demand!AZ19</f>
        <v>116666.66666666669</v>
      </c>
      <c r="BA17" s="28">
        <f>SUM(Demand!AO19:AZ19)</f>
        <v>1400000.0000000007</v>
      </c>
      <c r="BB17" s="27">
        <f>Demand!BB19</f>
        <v>116666.66666666669</v>
      </c>
      <c r="BC17" s="27">
        <f>Demand!BC19</f>
        <v>116666.66666666669</v>
      </c>
      <c r="BD17" s="27">
        <f>Demand!BD19</f>
        <v>116666.66666666669</v>
      </c>
      <c r="BE17" s="27">
        <f>Demand!BE19</f>
        <v>116666.66666666669</v>
      </c>
      <c r="BF17" s="27">
        <f>Demand!BF19</f>
        <v>116666.66666666669</v>
      </c>
      <c r="BG17" s="27">
        <f>Demand!BG19</f>
        <v>116666.66666666669</v>
      </c>
      <c r="BH17" s="27">
        <f>Demand!BH19</f>
        <v>116666.66666666669</v>
      </c>
      <c r="BI17" s="27">
        <f>Demand!BI19</f>
        <v>116666.66666666669</v>
      </c>
      <c r="BJ17" s="27">
        <f>Demand!BJ19</f>
        <v>116666.66666666669</v>
      </c>
      <c r="BK17" s="27">
        <f>Demand!BK19</f>
        <v>116666.66666666669</v>
      </c>
      <c r="BL17" s="27">
        <f>Demand!BL19</f>
        <v>116666.66666666669</v>
      </c>
      <c r="BM17" s="27">
        <f>Demand!BM19</f>
        <v>116666.66666666669</v>
      </c>
      <c r="BN17" s="28">
        <f>SUM(Demand!BB19:BM19)</f>
        <v>1400000.0000000007</v>
      </c>
      <c r="BO17" s="27">
        <f>Demand!BO19</f>
        <v>116666.66666666669</v>
      </c>
      <c r="BP17" s="27">
        <f>Demand!BP19</f>
        <v>116666.66666666669</v>
      </c>
      <c r="BQ17" s="27">
        <f>Demand!BQ19</f>
        <v>116666.66666666669</v>
      </c>
      <c r="BR17" s="27">
        <f>Demand!BR19</f>
        <v>116666.66666666669</v>
      </c>
      <c r="BS17" s="27">
        <f>Demand!BS19</f>
        <v>116666.66666666669</v>
      </c>
      <c r="BT17" s="27">
        <f>Demand!BT19</f>
        <v>116666.66666666669</v>
      </c>
      <c r="BU17" s="27">
        <f>Demand!BU19</f>
        <v>116666.66666666669</v>
      </c>
      <c r="BV17" s="27">
        <f>Demand!BV19</f>
        <v>116666.66666666669</v>
      </c>
      <c r="BW17" s="27">
        <f>Demand!BW19</f>
        <v>116666.66666666669</v>
      </c>
      <c r="BX17" s="27">
        <f>Demand!BX19</f>
        <v>116666.66666666669</v>
      </c>
      <c r="BY17" s="27">
        <f>Demand!BY19</f>
        <v>116666.66666666669</v>
      </c>
      <c r="BZ17" s="27">
        <f>Demand!BZ19</f>
        <v>116666.66666666669</v>
      </c>
      <c r="CA17" s="28">
        <f>SUM(Demand!BO19:BZ19)</f>
        <v>1400000.0000000007</v>
      </c>
      <c r="CB17" s="27">
        <f>Demand!CB19</f>
        <v>116666.66666666669</v>
      </c>
      <c r="CC17" s="27">
        <f>Demand!CC19</f>
        <v>116666.66666666669</v>
      </c>
      <c r="CD17" s="27">
        <f>Demand!CD19</f>
        <v>116666.66666666669</v>
      </c>
      <c r="CE17" s="27">
        <f>Demand!CE19</f>
        <v>116666.66666666669</v>
      </c>
      <c r="CF17" s="27">
        <f>Demand!CF19</f>
        <v>116666.66666666669</v>
      </c>
      <c r="CG17" s="27">
        <f>Demand!CG19</f>
        <v>116666.66666666669</v>
      </c>
      <c r="CH17" s="27">
        <f>Demand!CH19</f>
        <v>116666.66666666669</v>
      </c>
      <c r="CI17" s="27">
        <f>Demand!CI19</f>
        <v>116666.66666666669</v>
      </c>
      <c r="CJ17" s="27">
        <f>Demand!CJ19</f>
        <v>116666.66666666669</v>
      </c>
      <c r="CK17" s="27">
        <f>Demand!CK19</f>
        <v>116666.66666666669</v>
      </c>
      <c r="CL17" s="27">
        <f>Demand!CL19</f>
        <v>116666.66666666669</v>
      </c>
      <c r="CM17" s="27">
        <f>Demand!CM19</f>
        <v>116666.66666666669</v>
      </c>
      <c r="CN17" s="28">
        <f>SUM(Demand!CB19:CM19)</f>
        <v>1400000.0000000007</v>
      </c>
      <c r="CO17" s="27">
        <f>Demand!CO19</f>
        <v>116666.66666666669</v>
      </c>
      <c r="CP17" s="27">
        <f>Demand!CP19</f>
        <v>116666.66666666669</v>
      </c>
      <c r="CQ17" s="27">
        <f>Demand!CQ19</f>
        <v>116666.66666666669</v>
      </c>
      <c r="CR17" s="27">
        <f>Demand!CR19</f>
        <v>116666.66666666669</v>
      </c>
      <c r="CS17" s="27">
        <f>Demand!CS19</f>
        <v>116666.66666666669</v>
      </c>
      <c r="CT17" s="27">
        <f>Demand!CT19</f>
        <v>116666.66666666669</v>
      </c>
      <c r="CU17" s="27">
        <f>Demand!CU19</f>
        <v>116666.66666666669</v>
      </c>
      <c r="CV17" s="27">
        <f>Demand!CV19</f>
        <v>116666.66666666669</v>
      </c>
      <c r="CW17" s="27">
        <f>Demand!CW19</f>
        <v>116666.66666666669</v>
      </c>
      <c r="CX17" s="27">
        <f>Demand!CX19</f>
        <v>116666.66666666669</v>
      </c>
      <c r="CY17" s="27">
        <f>Demand!CY19</f>
        <v>116666.66666666669</v>
      </c>
      <c r="CZ17" s="27">
        <f>Demand!CZ19</f>
        <v>116666.66666666669</v>
      </c>
      <c r="DA17" s="28">
        <f>SUM(Demand!CO19:CZ19)</f>
        <v>1400000.0000000007</v>
      </c>
      <c r="DB17" s="27">
        <f>Demand!DB19</f>
        <v>116666.66666666669</v>
      </c>
      <c r="DC17" s="27">
        <f>Demand!DC19</f>
        <v>116666.66666666669</v>
      </c>
      <c r="DD17" s="27">
        <f>Demand!DD19</f>
        <v>116666.66666666669</v>
      </c>
      <c r="DE17" s="27">
        <f>Demand!DE19</f>
        <v>116666.66666666669</v>
      </c>
      <c r="DF17" s="27">
        <f>Demand!DF19</f>
        <v>116666.66666666669</v>
      </c>
      <c r="DG17" s="27">
        <f>Demand!DG19</f>
        <v>116666.66666666669</v>
      </c>
      <c r="DH17" s="27">
        <f>Demand!DH19</f>
        <v>116666.66666666669</v>
      </c>
      <c r="DI17" s="27">
        <f>Demand!DI19</f>
        <v>116666.66666666669</v>
      </c>
      <c r="DJ17" s="27">
        <f>Demand!DJ19</f>
        <v>116666.66666666669</v>
      </c>
      <c r="DK17" s="27">
        <f>Demand!DK19</f>
        <v>116666.66666666669</v>
      </c>
      <c r="DL17" s="27">
        <f>Demand!DL19</f>
        <v>116666.66666666669</v>
      </c>
      <c r="DM17" s="27">
        <f>Demand!DM19</f>
        <v>116666.66666666669</v>
      </c>
      <c r="DN17" s="28">
        <f>SUM(Demand!DB19:DM19)</f>
        <v>1400000.0000000007</v>
      </c>
      <c r="DO17" s="27">
        <f>Demand!DO19</f>
        <v>116666.66666666669</v>
      </c>
      <c r="DP17" s="27">
        <f>Demand!DP19</f>
        <v>116666.66666666669</v>
      </c>
      <c r="DQ17" s="27">
        <f>Demand!DQ19</f>
        <v>116666.66666666669</v>
      </c>
      <c r="DR17" s="27">
        <f>Demand!DR19</f>
        <v>116666.66666666669</v>
      </c>
      <c r="DS17" s="27">
        <f>Demand!DS19</f>
        <v>116666.66666666669</v>
      </c>
      <c r="DT17" s="27">
        <f>Demand!DT19</f>
        <v>116666.66666666669</v>
      </c>
      <c r="DU17" s="27">
        <f>Demand!DU19</f>
        <v>116666.66666666669</v>
      </c>
      <c r="DV17" s="27">
        <f>Demand!DV19</f>
        <v>116666.66666666669</v>
      </c>
      <c r="DW17" s="27">
        <f>Demand!DW19</f>
        <v>116666.66666666669</v>
      </c>
      <c r="DX17" s="27">
        <f>Demand!DX19</f>
        <v>116666.66666666669</v>
      </c>
      <c r="DY17" s="27">
        <f>Demand!DY19</f>
        <v>116666.66666666669</v>
      </c>
      <c r="DZ17" s="27">
        <f>Demand!DZ19</f>
        <v>116666.66666666669</v>
      </c>
      <c r="EA17" s="28">
        <f>SUM(Demand!DO19:DZ19)</f>
        <v>1400000.0000000007</v>
      </c>
      <c r="EB17" s="27">
        <f>Demand!EB19</f>
        <v>116666.66666666669</v>
      </c>
      <c r="EC17" s="27">
        <f>Demand!EC19</f>
        <v>116666.66666666669</v>
      </c>
      <c r="ED17" s="27">
        <f>Demand!ED19</f>
        <v>116666.66666666669</v>
      </c>
      <c r="EE17" s="27">
        <f>Demand!EE19</f>
        <v>116666.66666666669</v>
      </c>
      <c r="EF17" s="27">
        <f>Demand!EF19</f>
        <v>116666.66666666669</v>
      </c>
      <c r="EG17" s="27">
        <f>Demand!EG19</f>
        <v>116666.66666666669</v>
      </c>
      <c r="EH17" s="27">
        <f>Demand!EH19</f>
        <v>116666.66666666669</v>
      </c>
      <c r="EI17" s="27">
        <f>Demand!EI19</f>
        <v>116666.66666666669</v>
      </c>
      <c r="EJ17" s="27">
        <f>Demand!EJ19</f>
        <v>116666.66666666669</v>
      </c>
      <c r="EK17" s="27">
        <f>Demand!EK19</f>
        <v>116666.66666666669</v>
      </c>
      <c r="EL17" s="27">
        <f>Demand!EL19</f>
        <v>116666.66666666669</v>
      </c>
      <c r="EM17" s="27">
        <f>Demand!EM19</f>
        <v>116666.66666666669</v>
      </c>
      <c r="EN17" s="28">
        <f>SUM(Demand!EB19:EM19)</f>
        <v>1400000.0000000007</v>
      </c>
    </row>
    <row r="19" spans="1:144" ht="12.75" customHeight="1" x14ac:dyDescent="0.2">
      <c r="A19" s="7" t="str">
        <f>Labels!B17</f>
        <v>Avg Propensity Consume</v>
      </c>
      <c r="B19" s="35">
        <f>Inputs!B34</f>
        <v>0.78</v>
      </c>
    </row>
    <row r="20" spans="1:144" ht="12.75" customHeight="1" x14ac:dyDescent="0.2">
      <c r="A20" s="9" t="str">
        <f>Labels!B54</f>
        <v>Time Smooth Income</v>
      </c>
      <c r="B20" s="30">
        <f>Inputs!B35</f>
        <v>2.5</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4"/>
  <sheetViews>
    <sheetView workbookViewId="0"/>
  </sheetViews>
  <sheetFormatPr defaultRowHeight="12.75" customHeight="1" x14ac:dyDescent="0.2"/>
  <cols>
    <col min="1" max="1" width="24.42578125" customWidth="1"/>
    <col min="2" max="13" width="9.7109375" customWidth="1"/>
    <col min="14" max="14" width="10.5703125" customWidth="1"/>
    <col min="15" max="26" width="9.7109375" customWidth="1"/>
    <col min="27" max="27" width="10.5703125" customWidth="1"/>
    <col min="28" max="39" width="9.7109375" customWidth="1"/>
    <col min="40" max="40" width="10.5703125" customWidth="1"/>
    <col min="41" max="52" width="9.7109375" customWidth="1"/>
    <col min="53" max="53" width="10.5703125" customWidth="1"/>
    <col min="54" max="65" width="9.7109375" customWidth="1"/>
    <col min="66" max="66" width="10.5703125" customWidth="1"/>
    <col min="67" max="78" width="9.7109375" customWidth="1"/>
    <col min="79" max="79" width="10.5703125" customWidth="1"/>
    <col min="80" max="91" width="9.7109375" customWidth="1"/>
    <col min="92" max="92" width="10.5703125" customWidth="1"/>
    <col min="93" max="104" width="9.7109375" customWidth="1"/>
    <col min="105" max="105" width="10.5703125" customWidth="1"/>
    <col min="106" max="117" width="9.7109375" customWidth="1"/>
    <col min="118" max="118" width="10.5703125" customWidth="1"/>
    <col min="119" max="130" width="9.7109375" customWidth="1"/>
    <col min="131" max="131" width="10.5703125" customWidth="1"/>
    <col min="132" max="143" width="9.7109375" customWidth="1"/>
    <col min="144" max="144" width="10.570312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"Output"</f>
        <v>Output</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Labels!B38</f>
        <v>Output</v>
      </c>
      <c r="B7" s="22">
        <f ca="1">B9*(1-Inputs!B21)+Demand!B13*Inputs!B21+B11</f>
        <v>1191258.6665475934</v>
      </c>
      <c r="C7" s="22">
        <f ca="1">C9*(1-Inputs!B21)+Demand!C13*Inputs!B21+C11</f>
        <v>1179163.8146342076</v>
      </c>
      <c r="D7" s="22">
        <f ca="1">D9*(1-Inputs!B21)+Demand!D13*Inputs!B21+D11</f>
        <v>1198502.5948285589</v>
      </c>
      <c r="E7" s="22">
        <f ca="1">E9*(1-Inputs!B21)+Demand!E13*Inputs!B21+E11</f>
        <v>1153400.9526046792</v>
      </c>
      <c r="F7" s="22">
        <f ca="1">F9*(1-Inputs!B21)+Demand!F13*Inputs!B21+F11</f>
        <v>1219000.4625617997</v>
      </c>
      <c r="G7" s="22">
        <f ca="1">G9*(1-Inputs!B21)+Demand!G13*Inputs!B21+G11</f>
        <v>1194071.691563088</v>
      </c>
      <c r="H7" s="22">
        <f ca="1">H9*(1-Inputs!B21)+Demand!H13*Inputs!B21+H11</f>
        <v>1220436.6270985499</v>
      </c>
      <c r="I7" s="22">
        <f ca="1">I9*(1-Inputs!B21)+Demand!I13*Inputs!B21+I11</f>
        <v>1151827.2087257649</v>
      </c>
      <c r="J7" s="22">
        <f ca="1">J9*(1-Inputs!B21)+Demand!J13*Inputs!B21+J11</f>
        <v>1182425.3280228144</v>
      </c>
      <c r="K7" s="22">
        <f ca="1">K9*(1-Inputs!B21)+Demand!K13*Inputs!B21+K11</f>
        <v>1188440.0610920659</v>
      </c>
      <c r="L7" s="22">
        <f ca="1">L9*(1-Inputs!B21)+Demand!L13*Inputs!B21+L11</f>
        <v>1165962.7656749624</v>
      </c>
      <c r="M7" s="22">
        <f ca="1">M9*(1-Inputs!B21)+Demand!M13*Inputs!B21+M11</f>
        <v>1134755.1263466517</v>
      </c>
      <c r="N7" s="23">
        <f ca="1">SUM(B7:M7)</f>
        <v>14179245.299700737</v>
      </c>
      <c r="O7" s="22">
        <f ca="1">O9*(1-Inputs!B21)+Demand!O13*Inputs!B21+O11</f>
        <v>1163285.327358298</v>
      </c>
      <c r="P7" s="22">
        <f ca="1">P9*(1-Inputs!B21)+Demand!P13*Inputs!B21+P11</f>
        <v>1133772.3509215759</v>
      </c>
      <c r="Q7" s="22">
        <f ca="1">Q9*(1-Inputs!B21)+Demand!Q13*Inputs!B21+Q11</f>
        <v>1157917.9293246637</v>
      </c>
      <c r="R7" s="22">
        <f ca="1">R9*(1-Inputs!B21)+Demand!R13*Inputs!B21+R11</f>
        <v>1167102.4104336719</v>
      </c>
      <c r="S7" s="22">
        <f ca="1">S9*(1-Inputs!B21)+Demand!S13*Inputs!B21+S11</f>
        <v>1190691.1702458565</v>
      </c>
      <c r="T7" s="22">
        <f ca="1">T9*(1-Inputs!B21)+Demand!T13*Inputs!B21+T11</f>
        <v>1143080.8364441267</v>
      </c>
      <c r="U7" s="22">
        <f ca="1">U9*(1-Inputs!B21)+Demand!U13*Inputs!B21+U11</f>
        <v>1179199.19755103</v>
      </c>
      <c r="V7" s="22">
        <f ca="1">V9*(1-Inputs!B21)+Demand!V13*Inputs!B21+V11</f>
        <v>1183906.1356955094</v>
      </c>
      <c r="W7" s="22">
        <f ca="1">W9*(1-Inputs!B21)+Demand!W13*Inputs!B21+W11</f>
        <v>1148976.4059871898</v>
      </c>
      <c r="X7" s="22">
        <f ca="1">X9*(1-Inputs!B21)+Demand!X13*Inputs!B21+X11</f>
        <v>1155145.8797601652</v>
      </c>
      <c r="Y7" s="22">
        <f ca="1">Y9*(1-Inputs!B21)+Demand!Y13*Inputs!B21+Y11</f>
        <v>1151556.7663813154</v>
      </c>
      <c r="Z7" s="22">
        <f ca="1">Z9*(1-Inputs!B21)+Demand!Z13*Inputs!B21+Z11</f>
        <v>1161748.4190332694</v>
      </c>
      <c r="AA7" s="23">
        <f ca="1">SUM(O7:Z7)</f>
        <v>13936382.82913667</v>
      </c>
      <c r="AB7" s="22">
        <f ca="1">AB9*(1-Inputs!B21)+Demand!AB13*Inputs!B21+AB11</f>
        <v>1139715.733922876</v>
      </c>
      <c r="AC7" s="22">
        <f ca="1">AC9*(1-Inputs!B21)+Demand!AC13*Inputs!B21+AC11</f>
        <v>1189485.763758701</v>
      </c>
      <c r="AD7" s="22">
        <f ca="1">AD9*(1-Inputs!B21)+Demand!AD13*Inputs!B21+AD11</f>
        <v>1228964.9584291272</v>
      </c>
      <c r="AE7" s="22">
        <f ca="1">AE9*(1-Inputs!B21)+Demand!AE13*Inputs!B21+AE11</f>
        <v>1162229.4661105266</v>
      </c>
      <c r="AF7" s="22">
        <f ca="1">AF9*(1-Inputs!B21)+Demand!AF13*Inputs!B21+AF11</f>
        <v>1130678.1261542875</v>
      </c>
      <c r="AG7" s="22">
        <f ca="1">AG9*(1-Inputs!B21)+Demand!AG13*Inputs!B21+AG11</f>
        <v>1134529.9299497495</v>
      </c>
      <c r="AH7" s="22">
        <f ca="1">AH9*(1-Inputs!B21)+Demand!AH13*Inputs!B21+AH11</f>
        <v>1189466.1171051292</v>
      </c>
      <c r="AI7" s="22">
        <f ca="1">AI9*(1-Inputs!B21)+Demand!AI13*Inputs!B21+AI11</f>
        <v>1140426.34661105</v>
      </c>
      <c r="AJ7" s="22">
        <f ca="1">AJ9*(1-Inputs!B21)+Demand!AJ13*Inputs!B21+AJ11</f>
        <v>1111958.2389834276</v>
      </c>
      <c r="AK7" s="22">
        <f ca="1">AK9*(1-Inputs!B21)+Demand!AK13*Inputs!B21+AK11</f>
        <v>1198783.9803176124</v>
      </c>
      <c r="AL7" s="22">
        <f ca="1">AL9*(1-Inputs!B21)+Demand!AL13*Inputs!B21+AL11</f>
        <v>1184811.7037877422</v>
      </c>
      <c r="AM7" s="22">
        <f ca="1">AM9*(1-Inputs!B21)+Demand!AM13*Inputs!B21+AM11</f>
        <v>1181283.5020787632</v>
      </c>
      <c r="AN7" s="23">
        <f ca="1">SUM(AB7:AM7)</f>
        <v>13992333.867208991</v>
      </c>
      <c r="AO7" s="22">
        <f ca="1">AO9*(1-Inputs!B21)+Demand!AO13*Inputs!B21+AO11</f>
        <v>1177637.5453314723</v>
      </c>
      <c r="AP7" s="22">
        <f ca="1">AP9*(1-Inputs!B21)+Demand!AP13*Inputs!B21+AP11</f>
        <v>1208385.1182133269</v>
      </c>
      <c r="AQ7" s="22">
        <f ca="1">AQ9*(1-Inputs!B21)+Demand!AQ13*Inputs!B21+AQ11</f>
        <v>1179602.3223608674</v>
      </c>
      <c r="AR7" s="22">
        <f ca="1">AR9*(1-Inputs!B21)+Demand!AR13*Inputs!B21+AR11</f>
        <v>1142635.2510852066</v>
      </c>
      <c r="AS7" s="22">
        <f ca="1">AS9*(1-Inputs!B21)+Demand!AS13*Inputs!B21+AS11</f>
        <v>1154620.6456927636</v>
      </c>
      <c r="AT7" s="22">
        <f ca="1">AT9*(1-Inputs!B21)+Demand!AT13*Inputs!B21+AT11</f>
        <v>1216009.1657292957</v>
      </c>
      <c r="AU7" s="22">
        <f ca="1">AU9*(1-Inputs!B21)+Demand!AU13*Inputs!B21+AU11</f>
        <v>1155175.1954670239</v>
      </c>
      <c r="AV7" s="22">
        <f ca="1">AV9*(1-Inputs!B21)+Demand!AV13*Inputs!B21+AV11</f>
        <v>1130593.9753133571</v>
      </c>
      <c r="AW7" s="22">
        <f ca="1">AW9*(1-Inputs!B21)+Demand!AW13*Inputs!B21+AW11</f>
        <v>1120295.7183423568</v>
      </c>
      <c r="AX7" s="22">
        <f ca="1">AX9*(1-Inputs!B21)+Demand!AX13*Inputs!B21+AX11</f>
        <v>1197033.9641950587</v>
      </c>
      <c r="AY7" s="22">
        <f ca="1">AY9*(1-Inputs!B21)+Demand!AY13*Inputs!B21+AY11</f>
        <v>1160044.7635944528</v>
      </c>
      <c r="AZ7" s="22">
        <f ca="1">AZ9*(1-Inputs!B21)+Demand!AZ13*Inputs!B21+AZ11</f>
        <v>1165761.2603440809</v>
      </c>
      <c r="BA7" s="23">
        <f ca="1">SUM(AO7:AZ7)</f>
        <v>14007794.92566926</v>
      </c>
      <c r="BB7" s="22">
        <f ca="1">BB9*(1-Inputs!B21)+Demand!BB13*Inputs!B21+BB11</f>
        <v>1167047.1876659777</v>
      </c>
      <c r="BC7" s="22">
        <f ca="1">BC9*(1-Inputs!B21)+Demand!BC13*Inputs!B21+BC11</f>
        <v>1182900.0745205367</v>
      </c>
      <c r="BD7" s="22">
        <f ca="1">BD9*(1-Inputs!B21)+Demand!BD13*Inputs!B21+BD11</f>
        <v>1194853.19475059</v>
      </c>
      <c r="BE7" s="22">
        <f ca="1">BE9*(1-Inputs!B21)+Demand!BE13*Inputs!B21+BE11</f>
        <v>1160361.1112947115</v>
      </c>
      <c r="BF7" s="22">
        <f ca="1">BF9*(1-Inputs!B21)+Demand!BF13*Inputs!B21+BF11</f>
        <v>1219950.3272755737</v>
      </c>
      <c r="BG7" s="22">
        <f ca="1">BG9*(1-Inputs!B21)+Demand!BG13*Inputs!B21+BG11</f>
        <v>1151502.0274880982</v>
      </c>
      <c r="BH7" s="22">
        <f ca="1">BH9*(1-Inputs!B21)+Demand!BH13*Inputs!B21+BH11</f>
        <v>1153609.9846862617</v>
      </c>
      <c r="BI7" s="22">
        <f ca="1">BI9*(1-Inputs!B21)+Demand!BI13*Inputs!B21+BI11</f>
        <v>1138282.9521397869</v>
      </c>
      <c r="BJ7" s="22">
        <f ca="1">BJ9*(1-Inputs!B21)+Demand!BJ13*Inputs!B21+BJ11</f>
        <v>1152538.9779633579</v>
      </c>
      <c r="BK7" s="22">
        <f ca="1">BK9*(1-Inputs!B21)+Demand!BK13*Inputs!B21+BK11</f>
        <v>1189136.8204756994</v>
      </c>
      <c r="BL7" s="22">
        <f ca="1">BL9*(1-Inputs!B21)+Demand!BL13*Inputs!B21+BL11</f>
        <v>1197817.4927487154</v>
      </c>
      <c r="BM7" s="22">
        <f ca="1">BM9*(1-Inputs!B21)+Demand!BM13*Inputs!B21+BM11</f>
        <v>1169752.8452390118</v>
      </c>
      <c r="BN7" s="23">
        <f ca="1">SUM(BB7:BM7)</f>
        <v>14077752.996248322</v>
      </c>
      <c r="BO7" s="22">
        <f ca="1">BO9*(1-Inputs!B21)+Demand!BO13*Inputs!B21+BO11</f>
        <v>1162160.5845597158</v>
      </c>
      <c r="BP7" s="22">
        <f ca="1">BP9*(1-Inputs!B21)+Demand!BP13*Inputs!B21+BP11</f>
        <v>1135112.9180493425</v>
      </c>
      <c r="BQ7" s="22">
        <f ca="1">BQ9*(1-Inputs!B21)+Demand!BQ13*Inputs!B21+BQ11</f>
        <v>1177387.6979599232</v>
      </c>
      <c r="BR7" s="22">
        <f ca="1">BR9*(1-Inputs!B21)+Demand!BR13*Inputs!B21+BR11</f>
        <v>1133466.5037751079</v>
      </c>
      <c r="BS7" s="22">
        <f ca="1">BS9*(1-Inputs!B21)+Demand!BS13*Inputs!B21+BS11</f>
        <v>1209081.9245281196</v>
      </c>
      <c r="BT7" s="22">
        <f ca="1">BT9*(1-Inputs!B21)+Demand!BT13*Inputs!B21+BT11</f>
        <v>1164025.8002602595</v>
      </c>
      <c r="BU7" s="22">
        <f ca="1">BU9*(1-Inputs!B21)+Demand!BU13*Inputs!B21+BU11</f>
        <v>1149332.5446124009</v>
      </c>
      <c r="BV7" s="22">
        <f ca="1">BV9*(1-Inputs!B21)+Demand!BV13*Inputs!B21+BV11</f>
        <v>1156411.123985861</v>
      </c>
      <c r="BW7" s="22">
        <f ca="1">BW9*(1-Inputs!B21)+Demand!BW13*Inputs!B21+BW11</f>
        <v>1180463.4362825188</v>
      </c>
      <c r="BX7" s="22">
        <f ca="1">BX9*(1-Inputs!B21)+Demand!BX13*Inputs!B21+BX11</f>
        <v>1160364.6727905385</v>
      </c>
      <c r="BY7" s="22">
        <f ca="1">BY9*(1-Inputs!B21)+Demand!BY13*Inputs!B21+BY11</f>
        <v>1225962.4080839446</v>
      </c>
      <c r="BZ7" s="22">
        <f ca="1">BZ9*(1-Inputs!B21)+Demand!BZ13*Inputs!B21+BZ11</f>
        <v>1217776.0836234631</v>
      </c>
      <c r="CA7" s="23">
        <f ca="1">SUM(BO7:BZ7)</f>
        <v>14071545.698511196</v>
      </c>
      <c r="CB7" s="22">
        <f ca="1">CB9*(1-Inputs!B21)+Demand!CB13*Inputs!B21+CB11</f>
        <v>1137176.9594611265</v>
      </c>
      <c r="CC7" s="22">
        <f ca="1">CC9*(1-Inputs!B21)+Demand!CC13*Inputs!B21+CC11</f>
        <v>1182098.6842826509</v>
      </c>
      <c r="CD7" s="22">
        <f ca="1">CD9*(1-Inputs!B21)+Demand!CD13*Inputs!B21+CD11</f>
        <v>1177517.1572448208</v>
      </c>
      <c r="CE7" s="22">
        <f ca="1">CE9*(1-Inputs!B21)+Demand!CE13*Inputs!B21+CE11</f>
        <v>1202460.1689207652</v>
      </c>
      <c r="CF7" s="22">
        <f ca="1">CF9*(1-Inputs!B21)+Demand!CF13*Inputs!B21+CF11</f>
        <v>1186098.0089571383</v>
      </c>
      <c r="CG7" s="22">
        <f ca="1">CG9*(1-Inputs!B21)+Demand!CG13*Inputs!B21+CG11</f>
        <v>1160698.9415818434</v>
      </c>
      <c r="CH7" s="22">
        <f ca="1">CH9*(1-Inputs!B21)+Demand!CH13*Inputs!B21+CH11</f>
        <v>1136627.450370491</v>
      </c>
      <c r="CI7" s="22">
        <f ca="1">CI9*(1-Inputs!B21)+Demand!CI13*Inputs!B21+CI11</f>
        <v>1133473.9378486848</v>
      </c>
      <c r="CJ7" s="22">
        <f ca="1">CJ9*(1-Inputs!B21)+Demand!CJ13*Inputs!B21+CJ11</f>
        <v>1167190.0108039556</v>
      </c>
      <c r="CK7" s="22">
        <f ca="1">CK9*(1-Inputs!B21)+Demand!CK13*Inputs!B21+CK11</f>
        <v>1201944.0633247122</v>
      </c>
      <c r="CL7" s="22">
        <f ca="1">CL9*(1-Inputs!B21)+Demand!CL13*Inputs!B21+CL11</f>
        <v>1181246.1785624796</v>
      </c>
      <c r="CM7" s="22">
        <f ca="1">CM9*(1-Inputs!B21)+Demand!CM13*Inputs!B21+CM11</f>
        <v>1223522.405178335</v>
      </c>
      <c r="CN7" s="23">
        <f ca="1">SUM(CB7:CM7)</f>
        <v>14090053.966537004</v>
      </c>
      <c r="CO7" s="22">
        <f ca="1">CO9*(1-Inputs!B21)+Demand!CO13*Inputs!B21+CO11</f>
        <v>1138554.916041486</v>
      </c>
      <c r="CP7" s="22">
        <f ca="1">CP9*(1-Inputs!B21)+Demand!CP13*Inputs!B21+CP11</f>
        <v>1124652.9272100576</v>
      </c>
      <c r="CQ7" s="22">
        <f ca="1">CQ9*(1-Inputs!B21)+Demand!CQ13*Inputs!B21+CQ11</f>
        <v>1185712.4825680377</v>
      </c>
      <c r="CR7" s="22">
        <f ca="1">CR9*(1-Inputs!B21)+Demand!CR13*Inputs!B21+CR11</f>
        <v>1197710.6607716924</v>
      </c>
      <c r="CS7" s="22">
        <f ca="1">CS9*(1-Inputs!B21)+Demand!CS13*Inputs!B21+CS11</f>
        <v>1178515.5933283267</v>
      </c>
      <c r="CT7" s="22">
        <f ca="1">CT9*(1-Inputs!B21)+Demand!CT13*Inputs!B21+CT11</f>
        <v>1191495.5013866101</v>
      </c>
      <c r="CU7" s="22">
        <f ca="1">CU9*(1-Inputs!B21)+Demand!CU13*Inputs!B21+CU11</f>
        <v>1132065.23171622</v>
      </c>
      <c r="CV7" s="22">
        <f ca="1">CV9*(1-Inputs!B21)+Demand!CV13*Inputs!B21+CV11</f>
        <v>1112490.0571250874</v>
      </c>
      <c r="CW7" s="22">
        <f ca="1">CW9*(1-Inputs!B21)+Demand!CW13*Inputs!B21+CW11</f>
        <v>1129407.4916010222</v>
      </c>
      <c r="CX7" s="22">
        <f ca="1">CX9*(1-Inputs!B21)+Demand!CX13*Inputs!B21+CX11</f>
        <v>1135934.0707222379</v>
      </c>
      <c r="CY7" s="22">
        <f ca="1">CY9*(1-Inputs!B21)+Demand!CY13*Inputs!B21+CY11</f>
        <v>1154140.6142262712</v>
      </c>
      <c r="CZ7" s="22">
        <f ca="1">CZ9*(1-Inputs!B21)+Demand!CZ13*Inputs!B21+CZ11</f>
        <v>1155443.7009455403</v>
      </c>
      <c r="DA7" s="23">
        <f ca="1">SUM(CO7:CZ7)</f>
        <v>13836123.247642588</v>
      </c>
      <c r="DB7" s="22">
        <f ca="1">DB9*(1-Inputs!B21)+Demand!DB13*Inputs!B21+DB11</f>
        <v>1191811.0270396946</v>
      </c>
      <c r="DC7" s="22">
        <f ca="1">DC9*(1-Inputs!B21)+Demand!DC13*Inputs!B21+DC11</f>
        <v>1174121.6516726995</v>
      </c>
      <c r="DD7" s="22">
        <f ca="1">DD9*(1-Inputs!B21)+Demand!DD13*Inputs!B21+DD11</f>
        <v>1154576.6771917904</v>
      </c>
      <c r="DE7" s="22">
        <f ca="1">DE9*(1-Inputs!B21)+Demand!DE13*Inputs!B21+DE11</f>
        <v>1176946.692509617</v>
      </c>
      <c r="DF7" s="22">
        <f ca="1">DF9*(1-Inputs!B21)+Demand!DF13*Inputs!B21+DF11</f>
        <v>1130976.2545285795</v>
      </c>
      <c r="DG7" s="22">
        <f ca="1">DG9*(1-Inputs!B21)+Demand!DG13*Inputs!B21+DG11</f>
        <v>1172721.4569243782</v>
      </c>
      <c r="DH7" s="22">
        <f ca="1">DH9*(1-Inputs!B21)+Demand!DH13*Inputs!B21+DH11</f>
        <v>1166787.5147994498</v>
      </c>
      <c r="DI7" s="22">
        <f ca="1">DI9*(1-Inputs!B21)+Demand!DI13*Inputs!B21+DI11</f>
        <v>1115300.5114702238</v>
      </c>
      <c r="DJ7" s="22">
        <f ca="1">DJ9*(1-Inputs!B21)+Demand!DJ13*Inputs!B21+DJ11</f>
        <v>1163648.7244292328</v>
      </c>
      <c r="DK7" s="22">
        <f ca="1">DK9*(1-Inputs!B21)+Demand!DK13*Inputs!B21+DK11</f>
        <v>1193327.3140063894</v>
      </c>
      <c r="DL7" s="22">
        <f ca="1">DL9*(1-Inputs!B21)+Demand!DL13*Inputs!B21+DL11</f>
        <v>1205610.1373640522</v>
      </c>
      <c r="DM7" s="22">
        <f ca="1">DM9*(1-Inputs!B21)+Demand!DM13*Inputs!B21+DM11</f>
        <v>1169566.1833953683</v>
      </c>
      <c r="DN7" s="23">
        <f ca="1">SUM(DB7:DM7)</f>
        <v>14015394.145331476</v>
      </c>
      <c r="DO7" s="22">
        <f ca="1">DO9*(1-Inputs!B21)+Demand!DO13*Inputs!B21+DO11</f>
        <v>1163036.0612207698</v>
      </c>
      <c r="DP7" s="22">
        <f ca="1">DP9*(1-Inputs!B21)+Demand!DP13*Inputs!B21+DP11</f>
        <v>1180818.8781292783</v>
      </c>
      <c r="DQ7" s="22">
        <f ca="1">DQ9*(1-Inputs!B21)+Demand!DQ13*Inputs!B21+DQ11</f>
        <v>1122759.8941649268</v>
      </c>
      <c r="DR7" s="22">
        <f ca="1">DR9*(1-Inputs!B21)+Demand!DR13*Inputs!B21+DR11</f>
        <v>1140308.9522399767</v>
      </c>
      <c r="DS7" s="22">
        <f ca="1">DS9*(1-Inputs!B21)+Demand!DS13*Inputs!B21+DS11</f>
        <v>1177378.2807587315</v>
      </c>
      <c r="DT7" s="22">
        <f ca="1">DT9*(1-Inputs!B21)+Demand!DT13*Inputs!B21+DT11</f>
        <v>1171636.5792647966</v>
      </c>
      <c r="DU7" s="22">
        <f ca="1">DU9*(1-Inputs!B21)+Demand!DU13*Inputs!B21+DU11</f>
        <v>1109302.1581094177</v>
      </c>
      <c r="DV7" s="22">
        <f ca="1">DV9*(1-Inputs!B21)+Demand!DV13*Inputs!B21+DV11</f>
        <v>1194297.1635995426</v>
      </c>
      <c r="DW7" s="22">
        <f ca="1">DW9*(1-Inputs!B21)+Demand!DW13*Inputs!B21+DW11</f>
        <v>1158231.1683288543</v>
      </c>
      <c r="DX7" s="22">
        <f ca="1">DX9*(1-Inputs!B21)+Demand!DX13*Inputs!B21+DX11</f>
        <v>1117394.8910511816</v>
      </c>
      <c r="DY7" s="22">
        <f ca="1">DY9*(1-Inputs!B21)+Demand!DY13*Inputs!B21+DY11</f>
        <v>1219302.9313801632</v>
      </c>
      <c r="DZ7" s="22">
        <f ca="1">DZ9*(1-Inputs!B21)+Demand!DZ13*Inputs!B21+DZ11</f>
        <v>1177828.3643938256</v>
      </c>
      <c r="EA7" s="23">
        <f ca="1">SUM(DO7:DZ7)</f>
        <v>13932295.322641466</v>
      </c>
      <c r="EB7" s="22">
        <f ca="1">EB9*(1-Inputs!B21)+Demand!EB13*Inputs!B21+EB11</f>
        <v>1179295.7892935118</v>
      </c>
      <c r="EC7" s="22">
        <f ca="1">EC9*(1-Inputs!B21)+Demand!EC13*Inputs!B21+EC11</f>
        <v>1182225.2531596397</v>
      </c>
      <c r="ED7" s="22">
        <f ca="1">ED9*(1-Inputs!B21)+Demand!ED13*Inputs!B21+ED11</f>
        <v>1140875.5703666068</v>
      </c>
      <c r="EE7" s="22">
        <f ca="1">EE9*(1-Inputs!B21)+Demand!EE13*Inputs!B21+EE11</f>
        <v>1129378.4357287649</v>
      </c>
      <c r="EF7" s="22">
        <f ca="1">EF9*(1-Inputs!B21)+Demand!EF13*Inputs!B21+EF11</f>
        <v>1195513.6550060925</v>
      </c>
      <c r="EG7" s="22">
        <f ca="1">EG9*(1-Inputs!B21)+Demand!EG13*Inputs!B21+EG11</f>
        <v>1167834.1430978987</v>
      </c>
      <c r="EH7" s="22">
        <f ca="1">EH9*(1-Inputs!B21)+Demand!EH13*Inputs!B21+EH11</f>
        <v>1179982.7918099076</v>
      </c>
      <c r="EI7" s="22">
        <f ca="1">EI9*(1-Inputs!B21)+Demand!EI13*Inputs!B21+EI11</f>
        <v>1207665.1951190946</v>
      </c>
      <c r="EJ7" s="22">
        <f ca="1">EJ9*(1-Inputs!B21)+Demand!EJ13*Inputs!B21+EJ11</f>
        <v>1136763.3846034731</v>
      </c>
      <c r="EK7" s="22">
        <f ca="1">EK9*(1-Inputs!B21)+Demand!EK13*Inputs!B21+EK11</f>
        <v>1164951.1275881897</v>
      </c>
      <c r="EL7" s="22">
        <f ca="1">EL9*(1-Inputs!B21)+Demand!EL13*Inputs!B21+EL11</f>
        <v>1202217.4880542923</v>
      </c>
      <c r="EM7" s="22">
        <f ca="1">EM9*(1-Inputs!B21)+Demand!EM13*Inputs!B21+EM11</f>
        <v>1199513.6866083387</v>
      </c>
      <c r="EN7" s="23">
        <f ca="1">SUM(EB7:EM7)</f>
        <v>14086216.52043581</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11" t="str">
        <f>Labels!B41</f>
        <v>Potential Output</v>
      </c>
      <c r="B9" s="25">
        <f>B13*(Employment!B7/Inputs!B27)^(1-Inputs!B20)*(Capital!B7/Capital!B15)^Inputs!B20</f>
        <v>1166666.6666666667</v>
      </c>
      <c r="C9" s="25">
        <f>B13*(Employment!C7/Inputs!B27)^(1-Inputs!B20)*(Capital!C7/Capital!B15)^Inputs!B20</f>
        <v>1166666.6666666667</v>
      </c>
      <c r="D9" s="25">
        <f ca="1">B13*(Employment!D7/Inputs!B27)^(1-Inputs!B20)*(Capital!D7/Capital!B15)^Inputs!B20</f>
        <v>1166666.1798691018</v>
      </c>
      <c r="E9" s="25">
        <f ca="1">B13*(Employment!E7/Inputs!B27)^(1-Inputs!B20)*(Capital!E7/Capital!B15)^Inputs!B20</f>
        <v>1166659.5603848167</v>
      </c>
      <c r="F9" s="25">
        <f ca="1">B13*(Employment!F7/Inputs!B27)^(1-Inputs!B20)*(Capital!F7/Capital!B15)^Inputs!B20</f>
        <v>1166662.5773797636</v>
      </c>
      <c r="G9" s="25">
        <f ca="1">B13*(Employment!G7/Inputs!B27)^(1-Inputs!B20)*(Capital!G7/Capital!B15)^Inputs!B20</f>
        <v>1166676.6911798539</v>
      </c>
      <c r="H9" s="25">
        <f ca="1">B13*(Employment!H7/Inputs!B27)^(1-Inputs!B20)*(Capital!H7/Capital!B15)^Inputs!B20</f>
        <v>1166679.8035518089</v>
      </c>
      <c r="I9" s="25">
        <f ca="1">B13*(Employment!I7/Inputs!B27)^(1-Inputs!B20)*(Capital!I7/Capital!B15)^Inputs!B20</f>
        <v>1166684.0971819004</v>
      </c>
      <c r="J9" s="25">
        <f ca="1">B13*(Employment!J7/Inputs!B27)^(1-Inputs!B20)*(Capital!J7/Capital!B15)^Inputs!B20</f>
        <v>1166686.3573784959</v>
      </c>
      <c r="K9" s="25">
        <f ca="1">B13*(Employment!K7/Inputs!B27)^(1-Inputs!B20)*(Capital!K7/Capital!B15)^Inputs!B20</f>
        <v>1166690.2716867966</v>
      </c>
      <c r="L9" s="25">
        <f ca="1">B13*(Employment!L7/Inputs!B27)^(1-Inputs!B20)*(Capital!L7/Capital!B15)^Inputs!B20</f>
        <v>1166698.700421425</v>
      </c>
      <c r="M9" s="25">
        <f ca="1">B13*(Employment!M7/Inputs!B27)^(1-Inputs!B20)*(Capital!M7/Capital!B15)^Inputs!B20</f>
        <v>1166707.9537292814</v>
      </c>
      <c r="N9" s="26">
        <f ca="1">SUM(B9:M9)</f>
        <v>14000145.526096577</v>
      </c>
      <c r="O9" s="25">
        <f ca="1">B13*(Employment!O7/Inputs!B27)^(1-Inputs!B20)*(Capital!O7/Capital!B15)^Inputs!B20</f>
        <v>1166719.8355527811</v>
      </c>
      <c r="P9" s="25">
        <f ca="1">B13*(Employment!P7/Inputs!B27)^(1-Inputs!B20)*(Capital!P7/Capital!B15)^Inputs!B20</f>
        <v>1166734.7542206601</v>
      </c>
      <c r="Q9" s="25">
        <f ca="1">B13*(Employment!Q7/Inputs!B27)^(1-Inputs!B20)*(Capital!Q7/Capital!B15)^Inputs!B20</f>
        <v>1166745.8543474276</v>
      </c>
      <c r="R9" s="25">
        <f ca="1">B13*(Employment!R7/Inputs!B27)^(1-Inputs!B20)*(Capital!R7/Capital!B15)^Inputs!B20</f>
        <v>1166766.3048064189</v>
      </c>
      <c r="S9" s="25">
        <f ca="1">B13*(Employment!S7/Inputs!B27)^(1-Inputs!B20)*(Capital!S7/Capital!B15)^Inputs!B20</f>
        <v>1166778.5851750651</v>
      </c>
      <c r="T9" s="25">
        <f ca="1">B13*(Employment!T7/Inputs!B27)^(1-Inputs!B20)*(Capital!T7/Capital!B15)^Inputs!B20</f>
        <v>1166796.8037315996</v>
      </c>
      <c r="U9" s="25">
        <f ca="1">B13*(Employment!U7/Inputs!B27)^(1-Inputs!B20)*(Capital!U7/Capital!B15)^Inputs!B20</f>
        <v>1166824.5880356322</v>
      </c>
      <c r="V9" s="25">
        <f ca="1">B13*(Employment!V7/Inputs!B27)^(1-Inputs!B20)*(Capital!V7/Capital!B15)^Inputs!B20</f>
        <v>1166863.2687304087</v>
      </c>
      <c r="W9" s="25">
        <f ca="1">B13*(Employment!W7/Inputs!B27)^(1-Inputs!B20)*(Capital!W7/Capital!B15)^Inputs!B20</f>
        <v>1166888.8197678803</v>
      </c>
      <c r="X9" s="25">
        <f ca="1">B13*(Employment!X7/Inputs!B27)^(1-Inputs!B20)*(Capital!X7/Capital!B15)^Inputs!B20</f>
        <v>1166914.7284832529</v>
      </c>
      <c r="Y9" s="25">
        <f ca="1">B13*(Employment!Y7/Inputs!B27)^(1-Inputs!B20)*(Capital!Y7/Capital!B15)^Inputs!B20</f>
        <v>1166948.0980168988</v>
      </c>
      <c r="Z9" s="25">
        <f ca="1">B13*(Employment!Z7/Inputs!B27)^(1-Inputs!B20)*(Capital!Z7/Capital!B15)^Inputs!B20</f>
        <v>1166969.9403290616</v>
      </c>
      <c r="AA9" s="26">
        <f ca="1">SUM(O9:Z9)</f>
        <v>14001951.581197089</v>
      </c>
      <c r="AB9" s="25">
        <f ca="1">B13*(Employment!AB7/Inputs!B27)^(1-Inputs!B20)*(Capital!AB7/Capital!B15)^Inputs!B20</f>
        <v>1166994.8283219689</v>
      </c>
      <c r="AC9" s="25">
        <f ca="1">B13*(Employment!AC7/Inputs!B27)^(1-Inputs!B20)*(Capital!AC7/Capital!B15)^Inputs!B20</f>
        <v>1167018.8628793329</v>
      </c>
      <c r="AD9" s="25">
        <f ca="1">B13*(Employment!AD7/Inputs!B27)^(1-Inputs!B20)*(Capital!AD7/Capital!B15)^Inputs!B20</f>
        <v>1167048.1517363621</v>
      </c>
      <c r="AE9" s="25">
        <f ca="1">B13*(Employment!AE7/Inputs!B27)^(1-Inputs!B20)*(Capital!AE7/Capital!B15)^Inputs!B20</f>
        <v>1167083.9856185697</v>
      </c>
      <c r="AF9" s="25">
        <f ca="1">B13*(Employment!AF7/Inputs!B27)^(1-Inputs!B20)*(Capital!AF7/Capital!B15)^Inputs!B20</f>
        <v>1167122.4152296409</v>
      </c>
      <c r="AG9" s="25">
        <f ca="1">B13*(Employment!AG7/Inputs!B27)^(1-Inputs!B20)*(Capital!AG7/Capital!B15)^Inputs!B20</f>
        <v>1167168.0518426425</v>
      </c>
      <c r="AH9" s="25">
        <f ca="1">B13*(Employment!AH7/Inputs!B27)^(1-Inputs!B20)*(Capital!AH7/Capital!B15)^Inputs!B20</f>
        <v>1167220.6714606299</v>
      </c>
      <c r="AI9" s="25">
        <f ca="1">B13*(Employment!AI7/Inputs!B27)^(1-Inputs!B20)*(Capital!AI7/Capital!B15)^Inputs!B20</f>
        <v>1167270.6533627475</v>
      </c>
      <c r="AJ9" s="25">
        <f ca="1">B13*(Employment!AJ7/Inputs!B27)^(1-Inputs!B20)*(Capital!AJ7/Capital!B15)^Inputs!B20</f>
        <v>1167315.7163815654</v>
      </c>
      <c r="AK9" s="25">
        <f ca="1">B13*(Employment!AK7/Inputs!B27)^(1-Inputs!B20)*(Capital!AK7/Capital!B15)^Inputs!B20</f>
        <v>1167355.5959323689</v>
      </c>
      <c r="AL9" s="25">
        <f ca="1">B13*(Employment!AL7/Inputs!B27)^(1-Inputs!B20)*(Capital!AL7/Capital!B15)^Inputs!B20</f>
        <v>1167401.0136285492</v>
      </c>
      <c r="AM9" s="25">
        <f ca="1">B13*(Employment!AM7/Inputs!B27)^(1-Inputs!B20)*(Capital!AM7/Capital!B15)^Inputs!B20</f>
        <v>1167438.3217090904</v>
      </c>
      <c r="AN9" s="26">
        <f ca="1">SUM(AB9:AM9)</f>
        <v>14006438.268103469</v>
      </c>
      <c r="AO9" s="25">
        <f ca="1">B13*(Employment!AO7/Inputs!B27)^(1-Inputs!B20)*(Capital!AO7/Capital!B15)^Inputs!B20</f>
        <v>1167474.7398328804</v>
      </c>
      <c r="AP9" s="25">
        <f ca="1">B13*(Employment!AP7/Inputs!B27)^(1-Inputs!B20)*(Capital!AP7/Capital!B15)^Inputs!B20</f>
        <v>1167507.4188257814</v>
      </c>
      <c r="AQ9" s="25">
        <f ca="1">B13*(Employment!AQ7/Inputs!B27)^(1-Inputs!B20)*(Capital!AQ7/Capital!B15)^Inputs!B20</f>
        <v>1167538.0574071635</v>
      </c>
      <c r="AR9" s="25">
        <f ca="1">B13*(Employment!AR7/Inputs!B27)^(1-Inputs!B20)*(Capital!AR7/Capital!B15)^Inputs!B20</f>
        <v>1167567.9958956202</v>
      </c>
      <c r="AS9" s="25">
        <f ca="1">B13*(Employment!AS7/Inputs!B27)^(1-Inputs!B20)*(Capital!AS7/Capital!B15)^Inputs!B20</f>
        <v>1167589.5020073981</v>
      </c>
      <c r="AT9" s="25">
        <f ca="1">B13*(Employment!AT7/Inputs!B27)^(1-Inputs!B20)*(Capital!AT7/Capital!B15)^Inputs!B20</f>
        <v>1167612.998448519</v>
      </c>
      <c r="AU9" s="25">
        <f ca="1">B13*(Employment!AU7/Inputs!B27)^(1-Inputs!B20)*(Capital!AU7/Capital!B15)^Inputs!B20</f>
        <v>1167633.9685282363</v>
      </c>
      <c r="AV9" s="25">
        <f ca="1">B13*(Employment!AV7/Inputs!B27)^(1-Inputs!B20)*(Capital!AV7/Capital!B15)^Inputs!B20</f>
        <v>1167657.7026812665</v>
      </c>
      <c r="AW9" s="25">
        <f ca="1">B13*(Employment!AW7/Inputs!B27)^(1-Inputs!B20)*(Capital!AW7/Capital!B15)^Inputs!B20</f>
        <v>1167685.0577672608</v>
      </c>
      <c r="AX9" s="25">
        <f ca="1">B13*(Employment!AX7/Inputs!B27)^(1-Inputs!B20)*(Capital!AX7/Capital!B15)^Inputs!B20</f>
        <v>1167713.0250293936</v>
      </c>
      <c r="AY9" s="25">
        <f ca="1">B13*(Employment!AY7/Inputs!B27)^(1-Inputs!B20)*(Capital!AY7/Capital!B15)^Inputs!B20</f>
        <v>1167750.2857269053</v>
      </c>
      <c r="AZ9" s="25">
        <f ca="1">B13*(Employment!AZ7/Inputs!B27)^(1-Inputs!B20)*(Capital!AZ7/Capital!B15)^Inputs!B20</f>
        <v>1167780.4923456882</v>
      </c>
      <c r="BA9" s="26">
        <f ca="1">SUM(AO9:AZ9)</f>
        <v>14011511.244496113</v>
      </c>
      <c r="BB9" s="25">
        <f ca="1">B13*(Employment!BB7/Inputs!B27)^(1-Inputs!B20)*(Capital!BB7/Capital!B15)^Inputs!B20</f>
        <v>1167802.6988503486</v>
      </c>
      <c r="BC9" s="25">
        <f ca="1">B13*(Employment!BC7/Inputs!B27)^(1-Inputs!B20)*(Capital!BC7/Capital!B15)^Inputs!B20</f>
        <v>1167833.7133537265</v>
      </c>
      <c r="BD9" s="25">
        <f ca="1">B13*(Employment!BD7/Inputs!B27)^(1-Inputs!B20)*(Capital!BD7/Capital!B15)^Inputs!B20</f>
        <v>1167874.0549145772</v>
      </c>
      <c r="BE9" s="25">
        <f ca="1">B13*(Employment!BE7/Inputs!B27)^(1-Inputs!B20)*(Capital!BE7/Capital!B15)^Inputs!B20</f>
        <v>1167907.5838009843</v>
      </c>
      <c r="BF9" s="25">
        <f ca="1">B13*(Employment!BF7/Inputs!B27)^(1-Inputs!B20)*(Capital!BF7/Capital!B15)^Inputs!B20</f>
        <v>1167934.6387106564</v>
      </c>
      <c r="BG9" s="25">
        <f ca="1">B13*(Employment!BG7/Inputs!B27)^(1-Inputs!B20)*(Capital!BG7/Capital!B15)^Inputs!B20</f>
        <v>1167963.1862910562</v>
      </c>
      <c r="BH9" s="25">
        <f ca="1">B13*(Employment!BH7/Inputs!B27)^(1-Inputs!B20)*(Capital!BH7/Capital!B15)^Inputs!B20</f>
        <v>1167983.025738229</v>
      </c>
      <c r="BI9" s="25">
        <f ca="1">B13*(Employment!BI7/Inputs!B27)^(1-Inputs!B20)*(Capital!BI7/Capital!B15)^Inputs!B20</f>
        <v>1167997.9977004572</v>
      </c>
      <c r="BJ9" s="25">
        <f ca="1">B13*(Employment!BJ7/Inputs!B27)^(1-Inputs!B20)*(Capital!BJ7/Capital!B15)^Inputs!B20</f>
        <v>1168011.7671001677</v>
      </c>
      <c r="BK9" s="25">
        <f ca="1">B13*(Employment!BK7/Inputs!B27)^(1-Inputs!B20)*(Capital!BK7/Capital!B15)^Inputs!B20</f>
        <v>1168021.2050172165</v>
      </c>
      <c r="BL9" s="25">
        <f ca="1">B13*(Employment!BL7/Inputs!B27)^(1-Inputs!B20)*(Capital!BL7/Capital!B15)^Inputs!B20</f>
        <v>1168039.88466716</v>
      </c>
      <c r="BM9" s="25">
        <f ca="1">B13*(Employment!BM7/Inputs!B27)^(1-Inputs!B20)*(Capital!BM7/Capital!B15)^Inputs!B20</f>
        <v>1168052.187263258</v>
      </c>
      <c r="BN9" s="26">
        <f ca="1">SUM(BB9:BM9)</f>
        <v>14015421.943407839</v>
      </c>
      <c r="BO9" s="25">
        <f ca="1">B13*(Employment!BO7/Inputs!B27)^(1-Inputs!B20)*(Capital!BO7/Capital!B15)^Inputs!B20</f>
        <v>1168073.1024105418</v>
      </c>
      <c r="BP9" s="25">
        <f ca="1">B13*(Employment!BP7/Inputs!B27)^(1-Inputs!B20)*(Capital!BP7/Capital!B15)^Inputs!B20</f>
        <v>1168083.5415647912</v>
      </c>
      <c r="BQ9" s="25">
        <f ca="1">B13*(Employment!BQ7/Inputs!B27)^(1-Inputs!B20)*(Capital!BQ7/Capital!B15)^Inputs!B20</f>
        <v>1168100.1322963766</v>
      </c>
      <c r="BR9" s="25">
        <f ca="1">B13*(Employment!BR7/Inputs!B27)^(1-Inputs!B20)*(Capital!BR7/Capital!B15)^Inputs!B20</f>
        <v>1168125.8245659648</v>
      </c>
      <c r="BS9" s="25">
        <f ca="1">B13*(Employment!BS7/Inputs!B27)^(1-Inputs!B20)*(Capital!BS7/Capital!B15)^Inputs!B20</f>
        <v>1168149.2954704887</v>
      </c>
      <c r="BT9" s="25">
        <f ca="1">B13*(Employment!BT7/Inputs!B27)^(1-Inputs!B20)*(Capital!BT7/Capital!B15)^Inputs!B20</f>
        <v>1168166.2421503407</v>
      </c>
      <c r="BU9" s="25">
        <f ca="1">B13*(Employment!BU7/Inputs!B27)^(1-Inputs!B20)*(Capital!BU7/Capital!B15)^Inputs!B20</f>
        <v>1168194.5987414022</v>
      </c>
      <c r="BV9" s="25">
        <f ca="1">B13*(Employment!BV7/Inputs!B27)^(1-Inputs!B20)*(Capital!BV7/Capital!B15)^Inputs!B20</f>
        <v>1168216.0856440957</v>
      </c>
      <c r="BW9" s="25">
        <f ca="1">B13*(Employment!BW7/Inputs!B27)^(1-Inputs!B20)*(Capital!BW7/Capital!B15)^Inputs!B20</f>
        <v>1168243.9626349346</v>
      </c>
      <c r="BX9" s="25">
        <f ca="1">B13*(Employment!BX7/Inputs!B27)^(1-Inputs!B20)*(Capital!BX7/Capital!B15)^Inputs!B20</f>
        <v>1168274.868325046</v>
      </c>
      <c r="BY9" s="25">
        <f ca="1">B13*(Employment!BY7/Inputs!B27)^(1-Inputs!B20)*(Capital!BY7/Capital!B15)^Inputs!B20</f>
        <v>1168313.6072775749</v>
      </c>
      <c r="BZ9" s="25">
        <f ca="1">B13*(Employment!BZ7/Inputs!B27)^(1-Inputs!B20)*(Capital!BZ7/Capital!B15)^Inputs!B20</f>
        <v>1168349.3206520183</v>
      </c>
      <c r="CA9" s="26">
        <f ca="1">SUM(BO9:BZ9)</f>
        <v>14018290.581733573</v>
      </c>
      <c r="CB9" s="25">
        <f ca="1">B13*(Employment!CB7/Inputs!B27)^(1-Inputs!B20)*(Capital!CB7/Capital!B15)^Inputs!B20</f>
        <v>1168376.1622364316</v>
      </c>
      <c r="CC9" s="25">
        <f ca="1">B13*(Employment!CC7/Inputs!B27)^(1-Inputs!B20)*(Capital!CC7/Capital!B15)^Inputs!B20</f>
        <v>1168403.4145813175</v>
      </c>
      <c r="CD9" s="25">
        <f ca="1">B13*(Employment!CD7/Inputs!B27)^(1-Inputs!B20)*(Capital!CD7/Capital!B15)^Inputs!B20</f>
        <v>1168426.9303466568</v>
      </c>
      <c r="CE9" s="25">
        <f ca="1">B13*(Employment!CE7/Inputs!B27)^(1-Inputs!B20)*(Capital!CE7/Capital!B15)^Inputs!B20</f>
        <v>1168446.4688042125</v>
      </c>
      <c r="CF9" s="25">
        <f ca="1">B13*(Employment!CF7/Inputs!B27)^(1-Inputs!B20)*(Capital!CF7/Capital!B15)^Inputs!B20</f>
        <v>1168462.4751160443</v>
      </c>
      <c r="CG9" s="25">
        <f ca="1">B13*(Employment!CG7/Inputs!B27)^(1-Inputs!B20)*(Capital!CG7/Capital!B15)^Inputs!B20</f>
        <v>1168476.3116673194</v>
      </c>
      <c r="CH9" s="25">
        <f ca="1">B13*(Employment!CH7/Inputs!B27)^(1-Inputs!B20)*(Capital!CH7/Capital!B15)^Inputs!B20</f>
        <v>1168494.6450391358</v>
      </c>
      <c r="CI9" s="25">
        <f ca="1">B13*(Employment!CI7/Inputs!B27)^(1-Inputs!B20)*(Capital!CI7/Capital!B15)^Inputs!B20</f>
        <v>1168508.4348386726</v>
      </c>
      <c r="CJ9" s="25">
        <f ca="1">B13*(Employment!CJ7/Inputs!B27)^(1-Inputs!B20)*(Capital!CJ7/Capital!B15)^Inputs!B20</f>
        <v>1168515.6974638919</v>
      </c>
      <c r="CK9" s="25">
        <f ca="1">B13*(Employment!CK7/Inputs!B27)^(1-Inputs!B20)*(Capital!CK7/Capital!B15)^Inputs!B20</f>
        <v>1168516.0946709674</v>
      </c>
      <c r="CL9" s="25">
        <f ca="1">B13*(Employment!CL7/Inputs!B27)^(1-Inputs!B20)*(Capital!CL7/Capital!B15)^Inputs!B20</f>
        <v>1168515.6168845508</v>
      </c>
      <c r="CM9" s="25">
        <f ca="1">B13*(Employment!CM7/Inputs!B27)^(1-Inputs!B20)*(Capital!CM7/Capital!B15)^Inputs!B20</f>
        <v>1168507.949781023</v>
      </c>
      <c r="CN9" s="26">
        <f ca="1">SUM(CB9:CM9)</f>
        <v>14021650.201430224</v>
      </c>
      <c r="CO9" s="25">
        <f ca="1">B13*(Employment!CO7/Inputs!B27)^(1-Inputs!B20)*(Capital!CO7/Capital!B15)^Inputs!B20</f>
        <v>1168505.8047302081</v>
      </c>
      <c r="CP9" s="25">
        <f ca="1">B13*(Employment!CP7/Inputs!B27)^(1-Inputs!B20)*(Capital!CP7/Capital!B15)^Inputs!B20</f>
        <v>1168506.4256703116</v>
      </c>
      <c r="CQ9" s="25">
        <f ca="1">B13*(Employment!CQ7/Inputs!B27)^(1-Inputs!B20)*(Capital!CQ7/Capital!B15)^Inputs!B20</f>
        <v>1168498.4624579737</v>
      </c>
      <c r="CR9" s="25">
        <f ca="1">B13*(Employment!CR7/Inputs!B27)^(1-Inputs!B20)*(Capital!CR7/Capital!B15)^Inputs!B20</f>
        <v>1168481.2215479317</v>
      </c>
      <c r="CS9" s="25">
        <f ca="1">B13*(Employment!CS7/Inputs!B27)^(1-Inputs!B20)*(Capital!CS7/Capital!B15)^Inputs!B20</f>
        <v>1168458.8877692195</v>
      </c>
      <c r="CT9" s="25">
        <f ca="1">B13*(Employment!CT7/Inputs!B27)^(1-Inputs!B20)*(Capital!CT7/Capital!B15)^Inputs!B20</f>
        <v>1168433.9698508719</v>
      </c>
      <c r="CU9" s="25">
        <f ca="1">B13*(Employment!CU7/Inputs!B27)^(1-Inputs!B20)*(Capital!CU7/Capital!B15)^Inputs!B20</f>
        <v>1168405.7390536391</v>
      </c>
      <c r="CV9" s="25">
        <f ca="1">B13*(Employment!CV7/Inputs!B27)^(1-Inputs!B20)*(Capital!CV7/Capital!B15)^Inputs!B20</f>
        <v>1168377.5732873457</v>
      </c>
      <c r="CW9" s="25">
        <f ca="1">B13*(Employment!CW7/Inputs!B27)^(1-Inputs!B20)*(Capital!CW7/Capital!B15)^Inputs!B20</f>
        <v>1168355.6886781484</v>
      </c>
      <c r="CX9" s="25">
        <f ca="1">B13*(Employment!CX7/Inputs!B27)^(1-Inputs!B20)*(Capital!CX7/Capital!B15)^Inputs!B20</f>
        <v>1168337.5762360948</v>
      </c>
      <c r="CY9" s="25">
        <f ca="1">B13*(Employment!CY7/Inputs!B27)^(1-Inputs!B20)*(Capital!CY7/Capital!B15)^Inputs!B20</f>
        <v>1168324.0893372577</v>
      </c>
      <c r="CZ9" s="25">
        <f ca="1">B13*(Employment!CZ7/Inputs!B27)^(1-Inputs!B20)*(Capital!CZ7/Capital!B15)^Inputs!B20</f>
        <v>1168307.6451018979</v>
      </c>
      <c r="DA9" s="26">
        <f ca="1">SUM(CO9:CZ9)</f>
        <v>14020993.0837209</v>
      </c>
      <c r="DB9" s="25">
        <f ca="1">B13*(Employment!DB7/Inputs!B27)^(1-Inputs!B20)*(Capital!DB7/Capital!B15)^Inputs!B20</f>
        <v>1168291.6171200727</v>
      </c>
      <c r="DC9" s="25">
        <f ca="1">B13*(Employment!DC7/Inputs!B27)^(1-Inputs!B20)*(Capital!DC7/Capital!B15)^Inputs!B20</f>
        <v>1168282.7990557386</v>
      </c>
      <c r="DD9" s="25">
        <f ca="1">B13*(Employment!DD7/Inputs!B27)^(1-Inputs!B20)*(Capital!DD7/Capital!B15)^Inputs!B20</f>
        <v>1168276.8515654455</v>
      </c>
      <c r="DE9" s="25">
        <f ca="1">B13*(Employment!DE7/Inputs!B27)^(1-Inputs!B20)*(Capital!DE7/Capital!B15)^Inputs!B20</f>
        <v>1168273.3802887574</v>
      </c>
      <c r="DF9" s="25">
        <f ca="1">B13*(Employment!DF7/Inputs!B27)^(1-Inputs!B20)*(Capital!DF7/Capital!B15)^Inputs!B20</f>
        <v>1168259.9542263744</v>
      </c>
      <c r="DG9" s="25">
        <f ca="1">B13*(Employment!DG7/Inputs!B27)^(1-Inputs!B20)*(Capital!DG7/Capital!B15)^Inputs!B20</f>
        <v>1168237.8780783308</v>
      </c>
      <c r="DH9" s="25">
        <f ca="1">B13*(Employment!DH7/Inputs!B27)^(1-Inputs!B20)*(Capital!DH7/Capital!B15)^Inputs!B20</f>
        <v>1168213.5556734372</v>
      </c>
      <c r="DI9" s="25">
        <f ca="1">B13*(Employment!DI7/Inputs!B27)^(1-Inputs!B20)*(Capital!DI7/Capital!B15)^Inputs!B20</f>
        <v>1168191.5646508192</v>
      </c>
      <c r="DJ9" s="25">
        <f ca="1">B13*(Employment!DJ7/Inputs!B27)^(1-Inputs!B20)*(Capital!DJ7/Capital!B15)^Inputs!B20</f>
        <v>1168163.8125737943</v>
      </c>
      <c r="DK9" s="25">
        <f ca="1">B13*(Employment!DK7/Inputs!B27)^(1-Inputs!B20)*(Capital!DK7/Capital!B15)^Inputs!B20</f>
        <v>1168130.7435352213</v>
      </c>
      <c r="DL9" s="25">
        <f ca="1">B13*(Employment!DL7/Inputs!B27)^(1-Inputs!B20)*(Capital!DL7/Capital!B15)^Inputs!B20</f>
        <v>1168100.1499649487</v>
      </c>
      <c r="DM9" s="25">
        <f ca="1">B13*(Employment!DM7/Inputs!B27)^(1-Inputs!B20)*(Capital!DM7/Capital!B15)^Inputs!B20</f>
        <v>1168071.4058531506</v>
      </c>
      <c r="DN9" s="26">
        <f ca="1">SUM(DB9:DM9)</f>
        <v>14018493.71258609</v>
      </c>
      <c r="DO9" s="25">
        <f ca="1">B13*(Employment!DO7/Inputs!B27)^(1-Inputs!B20)*(Capital!DO7/Capital!B15)^Inputs!B20</f>
        <v>1168048.1879931414</v>
      </c>
      <c r="DP9" s="25">
        <f ca="1">B13*(Employment!DP7/Inputs!B27)^(1-Inputs!B20)*(Capital!DP7/Capital!B15)^Inputs!B20</f>
        <v>1168013.4775275709</v>
      </c>
      <c r="DQ9" s="25">
        <f ca="1">B13*(Employment!DQ7/Inputs!B27)^(1-Inputs!B20)*(Capital!DQ7/Capital!B15)^Inputs!B20</f>
        <v>1167982.5333586396</v>
      </c>
      <c r="DR9" s="25">
        <f ca="1">B13*(Employment!DR7/Inputs!B27)^(1-Inputs!B20)*(Capital!DR7/Capital!B15)^Inputs!B20</f>
        <v>1167948.3260501688</v>
      </c>
      <c r="DS9" s="25">
        <f ca="1">B13*(Employment!DS7/Inputs!B27)^(1-Inputs!B20)*(Capital!DS7/Capital!B15)^Inputs!B20</f>
        <v>1167908.0269273436</v>
      </c>
      <c r="DT9" s="25">
        <f ca="1">B13*(Employment!DT7/Inputs!B27)^(1-Inputs!B20)*(Capital!DT7/Capital!B15)^Inputs!B20</f>
        <v>1167873.9142192749</v>
      </c>
      <c r="DU9" s="25">
        <f ca="1">B13*(Employment!DU7/Inputs!B27)^(1-Inputs!B20)*(Capital!DU7/Capital!B15)^Inputs!B20</f>
        <v>1167840.0200935109</v>
      </c>
      <c r="DV9" s="25">
        <f ca="1">B13*(Employment!DV7/Inputs!B27)^(1-Inputs!B20)*(Capital!DV7/Capital!B15)^Inputs!B20</f>
        <v>1167798.8313311248</v>
      </c>
      <c r="DW9" s="25">
        <f ca="1">B13*(Employment!DW7/Inputs!B27)^(1-Inputs!B20)*(Capital!DW7/Capital!B15)^Inputs!B20</f>
        <v>1167766.9964048469</v>
      </c>
      <c r="DX9" s="25">
        <f ca="1">B13*(Employment!DX7/Inputs!B27)^(1-Inputs!B20)*(Capital!DX7/Capital!B15)^Inputs!B20</f>
        <v>1167739.3858332629</v>
      </c>
      <c r="DY9" s="25">
        <f ca="1">B13*(Employment!DY7/Inputs!B27)^(1-Inputs!B20)*(Capital!DY7/Capital!B15)^Inputs!B20</f>
        <v>1167703.8211599791</v>
      </c>
      <c r="DZ9" s="25">
        <f ca="1">B13*(Employment!DZ7/Inputs!B27)^(1-Inputs!B20)*(Capital!DZ7/Capital!B15)^Inputs!B20</f>
        <v>1167671.8944686549</v>
      </c>
      <c r="EA9" s="26">
        <f ca="1">SUM(DO9:DZ9)</f>
        <v>14014295.415367521</v>
      </c>
      <c r="EB9" s="25">
        <f ca="1">B13*(Employment!EB7/Inputs!B27)^(1-Inputs!B20)*(Capital!EB7/Capital!B15)^Inputs!B20</f>
        <v>1167641.8704568837</v>
      </c>
      <c r="EC9" s="25">
        <f ca="1">B13*(Employment!EC7/Inputs!B27)^(1-Inputs!B20)*(Capital!EC7/Capital!B15)^Inputs!B20</f>
        <v>1167619.4776474475</v>
      </c>
      <c r="ED9" s="25">
        <f ca="1">B13*(Employment!ED7/Inputs!B27)^(1-Inputs!B20)*(Capital!ED7/Capital!B15)^Inputs!B20</f>
        <v>1167588.6187877071</v>
      </c>
      <c r="EE9" s="25">
        <f ca="1">B13*(Employment!EE7/Inputs!B27)^(1-Inputs!B20)*(Capital!EE7/Capital!B15)^Inputs!B20</f>
        <v>1167550.3684237066</v>
      </c>
      <c r="EF9" s="25">
        <f ca="1">B13*(Employment!EF7/Inputs!B27)^(1-Inputs!B20)*(Capital!EF7/Capital!B15)^Inputs!B20</f>
        <v>1167515.63246851</v>
      </c>
      <c r="EG9" s="25">
        <f ca="1">B13*(Employment!EG7/Inputs!B27)^(1-Inputs!B20)*(Capital!EG7/Capital!B15)^Inputs!B20</f>
        <v>1167474.332803692</v>
      </c>
      <c r="EH9" s="25">
        <f ca="1">B13*(Employment!EH7/Inputs!B27)^(1-Inputs!B20)*(Capital!EH7/Capital!B15)^Inputs!B20</f>
        <v>1167442.6711813835</v>
      </c>
      <c r="EI9" s="25">
        <f ca="1">B13*(Employment!EI7/Inputs!B27)^(1-Inputs!B20)*(Capital!EI7/Capital!B15)^Inputs!B20</f>
        <v>1167408.7204736776</v>
      </c>
      <c r="EJ9" s="25">
        <f ca="1">B13*(Employment!EJ7/Inputs!B27)^(1-Inputs!B20)*(Capital!EJ7/Capital!B15)^Inputs!B20</f>
        <v>1167364.5046313712</v>
      </c>
      <c r="EK9" s="25">
        <f ca="1">B13*(Employment!EK7/Inputs!B27)^(1-Inputs!B20)*(Capital!EK7/Capital!B15)^Inputs!B20</f>
        <v>1167323.6798489415</v>
      </c>
      <c r="EL9" s="25">
        <f ca="1">B13*(Employment!EL7/Inputs!B27)^(1-Inputs!B20)*(Capital!EL7/Capital!B15)^Inputs!B20</f>
        <v>1167273.1333839542</v>
      </c>
      <c r="EM9" s="25">
        <f ca="1">B13*(Employment!EM7/Inputs!B27)^(1-Inputs!B20)*(Capital!EM7/Capital!B15)^Inputs!B20</f>
        <v>1167230.8286007519</v>
      </c>
      <c r="EN9" s="26">
        <f ca="1">SUM(EB9:EM9)</f>
        <v>14009433.838708026</v>
      </c>
    </row>
    <row r="10" spans="1:144" ht="12.75" customHeight="1" x14ac:dyDescent="0.2">
      <c r="A10" s="5"/>
      <c r="B10" s="24"/>
      <c r="C10" s="24"/>
      <c r="D10" s="24"/>
      <c r="E10" s="24"/>
      <c r="F10" s="24"/>
      <c r="G10" s="24"/>
      <c r="H10" s="24"/>
      <c r="I10" s="24"/>
      <c r="J10" s="24"/>
      <c r="K10" s="24"/>
      <c r="L10" s="24"/>
      <c r="M10" s="24"/>
      <c r="N10" s="5"/>
      <c r="O10" s="24"/>
      <c r="P10" s="24"/>
      <c r="Q10" s="24"/>
      <c r="R10" s="24"/>
      <c r="S10" s="24"/>
      <c r="T10" s="24"/>
      <c r="U10" s="24"/>
      <c r="V10" s="24"/>
      <c r="W10" s="24"/>
      <c r="X10" s="24"/>
      <c r="Y10" s="24"/>
      <c r="Z10" s="24"/>
      <c r="AA10" s="5"/>
      <c r="AB10" s="24"/>
      <c r="AC10" s="24"/>
      <c r="AD10" s="24"/>
      <c r="AE10" s="24"/>
      <c r="AF10" s="24"/>
      <c r="AG10" s="24"/>
      <c r="AH10" s="24"/>
      <c r="AI10" s="24"/>
      <c r="AJ10" s="24"/>
      <c r="AK10" s="24"/>
      <c r="AL10" s="24"/>
      <c r="AM10" s="24"/>
      <c r="AN10" s="5"/>
      <c r="AO10" s="24"/>
      <c r="AP10" s="24"/>
      <c r="AQ10" s="24"/>
      <c r="AR10" s="24"/>
      <c r="AS10" s="24"/>
      <c r="AT10" s="24"/>
      <c r="AU10" s="24"/>
      <c r="AV10" s="24"/>
      <c r="AW10" s="24"/>
      <c r="AX10" s="24"/>
      <c r="AY10" s="24"/>
      <c r="AZ10" s="24"/>
      <c r="BA10" s="5"/>
      <c r="BB10" s="24"/>
      <c r="BC10" s="24"/>
      <c r="BD10" s="24"/>
      <c r="BE10" s="24"/>
      <c r="BF10" s="24"/>
      <c r="BG10" s="24"/>
      <c r="BH10" s="24"/>
      <c r="BI10" s="24"/>
      <c r="BJ10" s="24"/>
      <c r="BK10" s="24"/>
      <c r="BL10" s="24"/>
      <c r="BM10" s="24"/>
      <c r="BN10" s="5"/>
      <c r="BO10" s="24"/>
      <c r="BP10" s="24"/>
      <c r="BQ10" s="24"/>
      <c r="BR10" s="24"/>
      <c r="BS10" s="24"/>
      <c r="BT10" s="24"/>
      <c r="BU10" s="24"/>
      <c r="BV10" s="24"/>
      <c r="BW10" s="24"/>
      <c r="BX10" s="24"/>
      <c r="BY10" s="24"/>
      <c r="BZ10" s="24"/>
      <c r="CA10" s="5"/>
      <c r="CB10" s="24"/>
      <c r="CC10" s="24"/>
      <c r="CD10" s="24"/>
      <c r="CE10" s="24"/>
      <c r="CF10" s="24"/>
      <c r="CG10" s="24"/>
      <c r="CH10" s="24"/>
      <c r="CI10" s="24"/>
      <c r="CJ10" s="24"/>
      <c r="CK10" s="24"/>
      <c r="CL10" s="24"/>
      <c r="CM10" s="24"/>
      <c r="CN10" s="5"/>
      <c r="CO10" s="24"/>
      <c r="CP10" s="24"/>
      <c r="CQ10" s="24"/>
      <c r="CR10" s="24"/>
      <c r="CS10" s="24"/>
      <c r="CT10" s="24"/>
      <c r="CU10" s="24"/>
      <c r="CV10" s="24"/>
      <c r="CW10" s="24"/>
      <c r="CX10" s="24"/>
      <c r="CY10" s="24"/>
      <c r="CZ10" s="24"/>
      <c r="DA10" s="5"/>
      <c r="DB10" s="24"/>
      <c r="DC10" s="24"/>
      <c r="DD10" s="24"/>
      <c r="DE10" s="24"/>
      <c r="DF10" s="24"/>
      <c r="DG10" s="24"/>
      <c r="DH10" s="24"/>
      <c r="DI10" s="24"/>
      <c r="DJ10" s="24"/>
      <c r="DK10" s="24"/>
      <c r="DL10" s="24"/>
      <c r="DM10" s="24"/>
      <c r="DN10" s="5"/>
      <c r="DO10" s="24"/>
      <c r="DP10" s="24"/>
      <c r="DQ10" s="24"/>
      <c r="DR10" s="24"/>
      <c r="DS10" s="24"/>
      <c r="DT10" s="24"/>
      <c r="DU10" s="24"/>
      <c r="DV10" s="24"/>
      <c r="DW10" s="24"/>
      <c r="DX10" s="24"/>
      <c r="DY10" s="24"/>
      <c r="DZ10" s="24"/>
      <c r="EA10" s="5"/>
      <c r="EB10" s="24"/>
      <c r="EC10" s="24"/>
      <c r="ED10" s="24"/>
      <c r="EE10" s="24"/>
      <c r="EF10" s="24"/>
      <c r="EG10" s="24"/>
      <c r="EH10" s="24"/>
      <c r="EI10" s="24"/>
      <c r="EJ10" s="24"/>
      <c r="EK10" s="24"/>
      <c r="EL10" s="24"/>
      <c r="EM10" s="24"/>
      <c r="EN10" s="5"/>
    </row>
    <row r="11" spans="1:144" ht="12.75" customHeight="1" x14ac:dyDescent="0.2">
      <c r="A11" s="9" t="str">
        <f>Labels!B46</f>
        <v>Output Shock</v>
      </c>
      <c r="B11" s="27">
        <f ca="1">NORMINV(RAND()*(1-2*Inputs!B58)+Inputs!B58,0,Shocks!B11)</f>
        <v>24591.999880926771</v>
      </c>
      <c r="C11" s="27">
        <f ca="1">NORMINV(RAND()*(1-2*Inputs!B58)+Inputs!B58,0,Shocks!B11)</f>
        <v>12514.315032151633</v>
      </c>
      <c r="D11" s="27">
        <f ca="1">NORMINV(RAND()*(1-2*Inputs!B58)+Inputs!B58,0,Shocks!B11)</f>
        <v>32069.906002850956</v>
      </c>
      <c r="E11" s="27">
        <f ca="1">NORMINV(RAND()*(1-2*Inputs!B58)+Inputs!B58,0,Shocks!B11)</f>
        <v>-13364.229216116632</v>
      </c>
      <c r="F11" s="27">
        <f ca="1">NORMINV(RAND()*(1-2*Inputs!B58)+Inputs!B58,0,Shocks!B11)</f>
        <v>51840.599347114563</v>
      </c>
      <c r="G11" s="27">
        <f ca="1">NORMINV(RAND()*(1-2*Inputs!B58)+Inputs!B58,0,Shocks!B11)</f>
        <v>27284.144262387308</v>
      </c>
      <c r="H11" s="27">
        <f ca="1">NORMINV(RAND()*(1-2*Inputs!B58)+Inputs!B58,0,Shocks!B11)</f>
        <v>53603.975618563796</v>
      </c>
      <c r="I11" s="27">
        <f ca="1">NORMINV(RAND()*(1-2*Inputs!B58)+Inputs!B58,0,Shocks!B11)</f>
        <v>-14938.488125599037</v>
      </c>
      <c r="J11" s="27">
        <f ca="1">NORMINV(RAND()*(1-2*Inputs!B58)+Inputs!B58,0,Shocks!B11)</f>
        <v>15598.799918561177</v>
      </c>
      <c r="K11" s="27">
        <f ca="1">NORMINV(RAND()*(1-2*Inputs!B58)+Inputs!B58,0,Shocks!B11)</f>
        <v>21449.99806680136</v>
      </c>
      <c r="L11" s="27">
        <f ca="1">NORMINV(RAND()*(1-2*Inputs!B58)+Inputs!B58,0,Shocks!B11)</f>
        <v>-1065.7126626746324</v>
      </c>
      <c r="M11" s="27">
        <f ca="1">NORMINV(RAND()*(1-2*Inputs!B58)+Inputs!B58,0,Shocks!B11)</f>
        <v>-32376.294999766127</v>
      </c>
      <c r="N11" s="28">
        <f ca="1">SUM(B11:M11)</f>
        <v>177209.01312520111</v>
      </c>
      <c r="O11" s="27">
        <f ca="1">NORMINV(RAND()*(1-2*Inputs!B58)+Inputs!B58,0,Shocks!B11)</f>
        <v>-3966.3480513659783</v>
      </c>
      <c r="P11" s="27">
        <f ca="1">NORMINV(RAND()*(1-2*Inputs!B58)+Inputs!B58,0,Shocks!B11)</f>
        <v>-33361.181614165987</v>
      </c>
      <c r="Q11" s="27">
        <f ca="1">NORMINV(RAND()*(1-2*Inputs!B58)+Inputs!B58,0,Shocks!B11)</f>
        <v>-9557.6285737310573</v>
      </c>
      <c r="R11" s="27">
        <f ca="1">NORMINV(RAND()*(1-2*Inputs!B58)+Inputs!B58,0,Shocks!B11)</f>
        <v>-107.66669061920149</v>
      </c>
      <c r="S11" s="27">
        <f ca="1">NORMINV(RAND()*(1-2*Inputs!B58)+Inputs!B58,0,Shocks!B11)</f>
        <v>23258.10369716031</v>
      </c>
      <c r="T11" s="27">
        <f ca="1">NORMINV(RAND()*(1-2*Inputs!B58)+Inputs!B58,0,Shocks!B11)</f>
        <v>-24709.730363432984</v>
      </c>
      <c r="U11" s="27">
        <f ca="1">NORMINV(RAND()*(1-2*Inputs!B58)+Inputs!B58,0,Shocks!B11)</f>
        <v>10993.600348151696</v>
      </c>
      <c r="V11" s="27">
        <f ca="1">NORMINV(RAND()*(1-2*Inputs!B58)+Inputs!B58,0,Shocks!B11)</f>
        <v>16120.742855991668</v>
      </c>
      <c r="W11" s="27">
        <f ca="1">NORMINV(RAND()*(1-2*Inputs!B58)+Inputs!B58,0,Shocks!B11)</f>
        <v>-18849.85071479981</v>
      </c>
      <c r="X11" s="27">
        <f ca="1">NORMINV(RAND()*(1-2*Inputs!B58)+Inputs!B58,0,Shocks!B11)</f>
        <v>-12972.130079205916</v>
      </c>
      <c r="Y11" s="27">
        <f ca="1">NORMINV(RAND()*(1-2*Inputs!B58)+Inputs!B58,0,Shocks!B11)</f>
        <v>-16191.616546344987</v>
      </c>
      <c r="Z11" s="27">
        <f ca="1">NORMINV(RAND()*(1-2*Inputs!B58)+Inputs!B58,0,Shocks!B11)</f>
        <v>-6131.4754572864713</v>
      </c>
      <c r="AA11" s="28">
        <f ca="1">SUM(O11:Z11)</f>
        <v>-75475.181189648734</v>
      </c>
      <c r="AB11" s="27">
        <f ca="1">NORMINV(RAND()*(1-2*Inputs!B58)+Inputs!B58,0,Shocks!B11)</f>
        <v>-28161.532036380886</v>
      </c>
      <c r="AC11" s="27">
        <f ca="1">NORMINV(RAND()*(1-2*Inputs!B58)+Inputs!B58,0,Shocks!B11)</f>
        <v>21396.681476753241</v>
      </c>
      <c r="AD11" s="27">
        <f ca="1">NORMINV(RAND()*(1-2*Inputs!B58)+Inputs!B58,0,Shocks!B11)</f>
        <v>60612.720368641523</v>
      </c>
      <c r="AE11" s="27">
        <f ca="1">NORMINV(RAND()*(1-2*Inputs!B58)+Inputs!B58,0,Shocks!B11)</f>
        <v>-6253.8956784103493</v>
      </c>
      <c r="AF11" s="27">
        <f ca="1">NORMINV(RAND()*(1-2*Inputs!B58)+Inputs!B58,0,Shocks!B11)</f>
        <v>-38101.852788318683</v>
      </c>
      <c r="AG11" s="27">
        <f ca="1">NORMINV(RAND()*(1-2*Inputs!B58)+Inputs!B58,0,Shocks!B11)</f>
        <v>-34546.74703650429</v>
      </c>
      <c r="AH11" s="27">
        <f ca="1">NORMINV(RAND()*(1-2*Inputs!B58)+Inputs!B58,0,Shocks!B11)</f>
        <v>20424.316536953185</v>
      </c>
      <c r="AI11" s="27">
        <f ca="1">NORMINV(RAND()*(1-2*Inputs!B58)+Inputs!B58,0,Shocks!B11)</f>
        <v>-28497.175781118665</v>
      </c>
      <c r="AJ11" s="27">
        <f ca="1">NORMINV(RAND()*(1-2*Inputs!B58)+Inputs!B58,0,Shocks!B11)</f>
        <v>-56832.195278862389</v>
      </c>
      <c r="AK11" s="27">
        <f ca="1">NORMINV(RAND()*(1-2*Inputs!B58)+Inputs!B58,0,Shocks!B11)</f>
        <v>29754.267020922867</v>
      </c>
      <c r="AL11" s="27">
        <f ca="1">NORMINV(RAND()*(1-2*Inputs!B58)+Inputs!B58,0,Shocks!B11)</f>
        <v>16017.922566569037</v>
      </c>
      <c r="AM11" s="27">
        <f ca="1">NORMINV(RAND()*(1-2*Inputs!B58)+Inputs!B58,0,Shocks!B11)</f>
        <v>12480.03854022588</v>
      </c>
      <c r="AN11" s="28">
        <f ca="1">SUM(AB11:AM11)</f>
        <v>-31707.452089529525</v>
      </c>
      <c r="AO11" s="27">
        <f ca="1">NORMINV(RAND()*(1-2*Inputs!B58)+Inputs!B58,0,Shocks!B11)</f>
        <v>8925.8887433405998</v>
      </c>
      <c r="AP11" s="27">
        <f ca="1">NORMINV(RAND()*(1-2*Inputs!B58)+Inputs!B58,0,Shocks!B11)</f>
        <v>39709.517782778916</v>
      </c>
      <c r="AQ11" s="27">
        <f ca="1">NORMINV(RAND()*(1-2*Inputs!B58)+Inputs!B58,0,Shocks!B11)</f>
        <v>10917.781155212624</v>
      </c>
      <c r="AR11" s="27">
        <f ca="1">NORMINV(RAND()*(1-2*Inputs!B58)+Inputs!B58,0,Shocks!B11)</f>
        <v>-25784.729940735429</v>
      </c>
      <c r="AS11" s="27">
        <f ca="1">NORMINV(RAND()*(1-2*Inputs!B58)+Inputs!B58,0,Shocks!B11)</f>
        <v>-13893.015342397541</v>
      </c>
      <c r="AT11" s="27">
        <f ca="1">NORMINV(RAND()*(1-2*Inputs!B58)+Inputs!B58,0,Shocks!B11)</f>
        <v>47558.925245474536</v>
      </c>
      <c r="AU11" s="27">
        <f ca="1">NORMINV(RAND()*(1-2*Inputs!B58)+Inputs!B58,0,Shocks!B11)</f>
        <v>-13395.407294617955</v>
      </c>
      <c r="AV11" s="27">
        <f ca="1">NORMINV(RAND()*(1-2*Inputs!B58)+Inputs!B58,0,Shocks!B11)</f>
        <v>-38130.271347672613</v>
      </c>
      <c r="AW11" s="27">
        <f ca="1">NORMINV(RAND()*(1-2*Inputs!B58)+Inputs!B58,0,Shocks!B11)</f>
        <v>-48480.063051508805</v>
      </c>
      <c r="AX11" s="27">
        <f ca="1">NORMINV(RAND()*(1-2*Inputs!B58)+Inputs!B58,0,Shocks!B11)</f>
        <v>27899.788419462348</v>
      </c>
      <c r="AY11" s="27">
        <f ca="1">NORMINV(RAND()*(1-2*Inputs!B58)+Inputs!B58,0,Shocks!B11)</f>
        <v>-8881.5261385775611</v>
      </c>
      <c r="AZ11" s="27">
        <f ca="1">NORMINV(RAND()*(1-2*Inputs!B58)+Inputs!B58,0,Shocks!B11)</f>
        <v>-2915.9373322964052</v>
      </c>
      <c r="BA11" s="28">
        <f ca="1">SUM(AO11:AZ11)</f>
        <v>-16469.049101537286</v>
      </c>
      <c r="BB11" s="27">
        <f ca="1">NORMINV(RAND()*(1-2*Inputs!B58)+Inputs!B58,0,Shocks!B11)</f>
        <v>-1964.8641130811234</v>
      </c>
      <c r="BC11" s="27">
        <f ca="1">NORMINV(RAND()*(1-2*Inputs!B58)+Inputs!B58,0,Shocks!B11)</f>
        <v>13525.095528238544</v>
      </c>
      <c r="BD11" s="27">
        <f ca="1">NORMINV(RAND()*(1-2*Inputs!B58)+Inputs!B58,0,Shocks!B11)</f>
        <v>25674.212704831876</v>
      </c>
      <c r="BE11" s="27">
        <f ca="1">NORMINV(RAND()*(1-2*Inputs!B58)+Inputs!B58,0,Shocks!B11)</f>
        <v>-8626.2473574603719</v>
      </c>
      <c r="BF11" s="27">
        <f ca="1">NORMINV(RAND()*(1-2*Inputs!B58)+Inputs!B58,0,Shocks!B11)</f>
        <v>50880.792853571555</v>
      </c>
      <c r="BG11" s="27">
        <f ca="1">NORMINV(RAND()*(1-2*Inputs!B58)+Inputs!B58,0,Shocks!B11)</f>
        <v>-17291.536062050283</v>
      </c>
      <c r="BH11" s="27">
        <f ca="1">NORMINV(RAND()*(1-2*Inputs!B58)+Inputs!B58,0,Shocks!B11)</f>
        <v>-15033.404133757429</v>
      </c>
      <c r="BI11" s="27">
        <f ca="1">NORMINV(RAND()*(1-2*Inputs!B58)+Inputs!B58,0,Shocks!B11)</f>
        <v>-30334.124915369746</v>
      </c>
      <c r="BJ11" s="27">
        <f ca="1">NORMINV(RAND()*(1-2*Inputs!B58)+Inputs!B58,0,Shocks!B11)</f>
        <v>-15940.090014315498</v>
      </c>
      <c r="BK11" s="27">
        <f ca="1">NORMINV(RAND()*(1-2*Inputs!B58)+Inputs!B58,0,Shocks!B11)</f>
        <v>20321.821588343682</v>
      </c>
      <c r="BL11" s="27">
        <f ca="1">NORMINV(RAND()*(1-2*Inputs!B58)+Inputs!B58,0,Shocks!B11)</f>
        <v>29207.209104404996</v>
      </c>
      <c r="BM11" s="27">
        <f ca="1">NORMINV(RAND()*(1-2*Inputs!B58)+Inputs!B58,0,Shocks!B11)</f>
        <v>825.64831069313743</v>
      </c>
      <c r="BN11" s="28">
        <f ca="1">SUM(BB11:BM11)</f>
        <v>51244.51349404933</v>
      </c>
      <c r="BO11" s="27">
        <f ca="1">NORMINV(RAND()*(1-2*Inputs!B58)+Inputs!B58,0,Shocks!B11)</f>
        <v>-6419.794488429</v>
      </c>
      <c r="BP11" s="27">
        <f ca="1">NORMINV(RAND()*(1-2*Inputs!B58)+Inputs!B58,0,Shocks!B11)</f>
        <v>-33695.499618944094</v>
      </c>
      <c r="BQ11" s="27">
        <f ca="1">NORMINV(RAND()*(1-2*Inputs!B58)+Inputs!B58,0,Shocks!B11)</f>
        <v>8240.3683110619004</v>
      </c>
      <c r="BR11" s="27">
        <f ca="1">NORMINV(RAND()*(1-2*Inputs!B58)+Inputs!B58,0,Shocks!B11)</f>
        <v>-35630.451493605287</v>
      </c>
      <c r="BS11" s="27">
        <f ca="1">NORMINV(RAND()*(1-2*Inputs!B58)+Inputs!B58,0,Shocks!B11)</f>
        <v>40189.585336330369</v>
      </c>
      <c r="BT11" s="27">
        <f ca="1">NORMINV(RAND()*(1-2*Inputs!B58)+Inputs!B58,0,Shocks!B11)</f>
        <v>-5287.2521688278193</v>
      </c>
      <c r="BU11" s="27">
        <f ca="1">NORMINV(RAND()*(1-2*Inputs!B58)+Inputs!B58,0,Shocks!B11)</f>
        <v>-19769.114924194957</v>
      </c>
      <c r="BV11" s="27">
        <f ca="1">NORMINV(RAND()*(1-2*Inputs!B58)+Inputs!B58,0,Shocks!B11)</f>
        <v>-12939.215010391643</v>
      </c>
      <c r="BW11" s="27">
        <f ca="1">NORMINV(RAND()*(1-2*Inputs!B58)+Inputs!B58,0,Shocks!B11)</f>
        <v>10975.898284685425</v>
      </c>
      <c r="BX11" s="27">
        <f ca="1">NORMINV(RAND()*(1-2*Inputs!B58)+Inputs!B58,0,Shocks!B11)</f>
        <v>-9432.8849934689279</v>
      </c>
      <c r="BY11" s="27">
        <f ca="1">NORMINV(RAND()*(1-2*Inputs!B58)+Inputs!B58,0,Shocks!B11)</f>
        <v>56229.169478186428</v>
      </c>
      <c r="BZ11" s="27">
        <f ca="1">NORMINV(RAND()*(1-2*Inputs!B58)+Inputs!B58,0,Shocks!B11)</f>
        <v>48316.746438212649</v>
      </c>
      <c r="CA11" s="28">
        <f ca="1">SUM(BO11:BZ11)</f>
        <v>40777.555150615051</v>
      </c>
      <c r="CB11" s="27">
        <f ca="1">NORMINV(RAND()*(1-2*Inputs!B58)+Inputs!B58,0,Shocks!B11)</f>
        <v>-32326.044721645314</v>
      </c>
      <c r="CC11" s="27">
        <f ca="1">NORMINV(RAND()*(1-2*Inputs!B58)+Inputs!B58,0,Shocks!B11)</f>
        <v>12697.853985293366</v>
      </c>
      <c r="CD11" s="27">
        <f ca="1">NORMINV(RAND()*(1-2*Inputs!B58)+Inputs!B58,0,Shocks!B11)</f>
        <v>8231.1447548358574</v>
      </c>
      <c r="CE11" s="27">
        <f ca="1">NORMINV(RAND()*(1-2*Inputs!B58)+Inputs!B58,0,Shocks!B11)</f>
        <v>33277.689737836343</v>
      </c>
      <c r="CF11" s="27">
        <f ca="1">NORMINV(RAND()*(1-2*Inputs!B58)+Inputs!B58,0,Shocks!B11)</f>
        <v>16974.929352924184</v>
      </c>
      <c r="CG11" s="27">
        <f ca="1">NORMINV(RAND()*(1-2*Inputs!B58)+Inputs!B58,0,Shocks!B11)</f>
        <v>-8597.4812206215374</v>
      </c>
      <c r="CH11" s="27">
        <f ca="1">NORMINV(RAND()*(1-2*Inputs!B58)+Inputs!B58,0,Shocks!B11)</f>
        <v>-32528.417869420671</v>
      </c>
      <c r="CI11" s="27">
        <f ca="1">NORMINV(RAND()*(1-2*Inputs!B58)+Inputs!B58,0,Shocks!B11)</f>
        <v>-35466.364469229178</v>
      </c>
      <c r="CJ11" s="27">
        <f ca="1">NORMINV(RAND()*(1-2*Inputs!B58)+Inputs!B58,0,Shocks!B11)</f>
        <v>-1515.5539663360039</v>
      </c>
      <c r="CK11" s="27">
        <f ca="1">NORMINV(RAND()*(1-2*Inputs!B58)+Inputs!B58,0,Shocks!B11)</f>
        <v>33269.546432312141</v>
      </c>
      <c r="CL11" s="27">
        <f ca="1">NORMINV(RAND()*(1-2*Inputs!B58)+Inputs!B58,0,Shocks!B11)</f>
        <v>12826.401733974933</v>
      </c>
      <c r="CM11" s="27">
        <f ca="1">NORMINV(RAND()*(1-2*Inputs!B58)+Inputs!B58,0,Shocks!B11)</f>
        <v>54916.965193614444</v>
      </c>
      <c r="CN11" s="28">
        <f ca="1">SUM(CB11:CM11)</f>
        <v>61760.668943538563</v>
      </c>
      <c r="CO11" s="27">
        <f ca="1">NORMINV(RAND()*(1-2*Inputs!B58)+Inputs!B58,0,Shocks!B11)</f>
        <v>-30145.104180674771</v>
      </c>
      <c r="CP11" s="27">
        <f ca="1">NORMINV(RAND()*(1-2*Inputs!B58)+Inputs!B58,0,Shocks!B11)</f>
        <v>-43744.390999823539</v>
      </c>
      <c r="CQ11" s="27">
        <f ca="1">NORMINV(RAND()*(1-2*Inputs!B58)+Inputs!B58,0,Shocks!B11)</f>
        <v>17651.844423108676</v>
      </c>
      <c r="CR11" s="27">
        <f ca="1">NORMINV(RAND()*(1-2*Inputs!B58)+Inputs!B58,0,Shocks!B11)</f>
        <v>29849.370123469653</v>
      </c>
      <c r="CS11" s="27">
        <f ca="1">NORMINV(RAND()*(1-2*Inputs!B58)+Inputs!B58,0,Shocks!B11)</f>
        <v>10770.794289945163</v>
      </c>
      <c r="CT11" s="27">
        <f ca="1">NORMINV(RAND()*(1-2*Inputs!B58)+Inputs!B58,0,Shocks!B11)</f>
        <v>23895.748786733642</v>
      </c>
      <c r="CU11" s="27">
        <f ca="1">NORMINV(RAND()*(1-2*Inputs!B58)+Inputs!B58,0,Shocks!B11)</f>
        <v>-35504.96474353307</v>
      </c>
      <c r="CV11" s="27">
        <f ca="1">NORMINV(RAND()*(1-2*Inputs!B58)+Inputs!B58,0,Shocks!B11)</f>
        <v>-55269.929810455731</v>
      </c>
      <c r="CW11" s="27">
        <f ca="1">NORMINV(RAND()*(1-2*Inputs!B58)+Inputs!B58,0,Shocks!B11)</f>
        <v>-38460.768541409881</v>
      </c>
      <c r="CX11" s="27">
        <f ca="1">NORMINV(RAND()*(1-2*Inputs!B58)+Inputs!B58,0,Shocks!B11)</f>
        <v>-32076.75897942976</v>
      </c>
      <c r="CY11" s="27">
        <f ca="1">NORMINV(RAND()*(1-2*Inputs!B58)+Inputs!B58,0,Shocks!B11)</f>
        <v>-13750.461052542081</v>
      </c>
      <c r="CZ11" s="27">
        <f ca="1">NORMINV(RAND()*(1-2*Inputs!B58)+Inputs!B58,0,Shocks!B11)</f>
        <v>-12443.343577687439</v>
      </c>
      <c r="DA11" s="28">
        <f ca="1">SUM(CO11:CZ11)</f>
        <v>-179227.96426229912</v>
      </c>
      <c r="DB11" s="27">
        <f ca="1">NORMINV(RAND()*(1-2*Inputs!B58)+Inputs!B58,0,Shocks!B11)</f>
        <v>23687.915370351169</v>
      </c>
      <c r="DC11" s="27">
        <f ca="1">NORMINV(RAND()*(1-2*Inputs!B58)+Inputs!B58,0,Shocks!B11)</f>
        <v>5907.5249583355717</v>
      </c>
      <c r="DD11" s="27">
        <f ca="1">NORMINV(RAND()*(1-2*Inputs!B58)+Inputs!B58,0,Shocks!B11)</f>
        <v>-13717.744579647377</v>
      </c>
      <c r="DE11" s="27">
        <f ca="1">NORMINV(RAND()*(1-2*Inputs!B58)+Inputs!B58,0,Shocks!B11)</f>
        <v>9007.6888220462315</v>
      </c>
      <c r="DF11" s="27">
        <f ca="1">NORMINV(RAND()*(1-2*Inputs!B58)+Inputs!B58,0,Shocks!B11)</f>
        <v>-36642.316322465653</v>
      </c>
      <c r="DG11" s="27">
        <f ca="1">NORMINV(RAND()*(1-2*Inputs!B58)+Inputs!B58,0,Shocks!B11)</f>
        <v>5207.027315677291</v>
      </c>
      <c r="DH11" s="27">
        <f ca="1">NORMINV(RAND()*(1-2*Inputs!B58)+Inputs!B58,0,Shocks!B11)</f>
        <v>-781.75584419247252</v>
      </c>
      <c r="DI11" s="27">
        <f ca="1">NORMINV(RAND()*(1-2*Inputs!B58)+Inputs!B58,0,Shocks!B11)</f>
        <v>-52040.767367214416</v>
      </c>
      <c r="DJ11" s="27">
        <f ca="1">NORMINV(RAND()*(1-2*Inputs!B58)+Inputs!B58,0,Shocks!B11)</f>
        <v>-3473.851871948983</v>
      </c>
      <c r="DK11" s="27">
        <f ca="1">NORMINV(RAND()*(1-2*Inputs!B58)+Inputs!B58,0,Shocks!B11)</f>
        <v>26154.472735227908</v>
      </c>
      <c r="DL11" s="27">
        <f ca="1">NORMINV(RAND()*(1-2*Inputs!B58)+Inputs!B58,0,Shocks!B11)</f>
        <v>38406.349736211705</v>
      </c>
      <c r="DM11" s="27">
        <f ca="1">NORMINV(RAND()*(1-2*Inputs!B58)+Inputs!B58,0,Shocks!B11)</f>
        <v>2199.7002679594198</v>
      </c>
      <c r="DN11" s="28">
        <f ca="1">SUM(DB11:DM11)</f>
        <v>3914.2432203403996</v>
      </c>
      <c r="DO11" s="27">
        <f ca="1">NORMINV(RAND()*(1-2*Inputs!B58)+Inputs!B58,0,Shocks!B11)</f>
        <v>-3898.9935508486583</v>
      </c>
      <c r="DP11" s="27">
        <f ca="1">NORMINV(RAND()*(1-2*Inputs!B58)+Inputs!B58,0,Shocks!B11)</f>
        <v>13789.792106495119</v>
      </c>
      <c r="DQ11" s="27">
        <f ca="1">NORMINV(RAND()*(1-2*Inputs!B58)+Inputs!B58,0,Shocks!B11)</f>
        <v>-44119.485458610623</v>
      </c>
      <c r="DR11" s="27">
        <f ca="1">NORMINV(RAND()*(1-2*Inputs!B58)+Inputs!B58,0,Shocks!B11)</f>
        <v>-26317.351640914574</v>
      </c>
      <c r="DS11" s="27">
        <f ca="1">NORMINV(RAND()*(1-2*Inputs!B58)+Inputs!B58,0,Shocks!B11)</f>
        <v>10578.737134422936</v>
      </c>
      <c r="DT11" s="27">
        <f ca="1">NORMINV(RAND()*(1-2*Inputs!B58)+Inputs!B58,0,Shocks!B11)</f>
        <v>4867.4027502986037</v>
      </c>
      <c r="DU11" s="27">
        <f ca="1">NORMINV(RAND()*(1-2*Inputs!B58)+Inputs!B58,0,Shocks!B11)</f>
        <v>-57171.922281059771</v>
      </c>
      <c r="DV11" s="27">
        <f ca="1">NORMINV(RAND()*(1-2*Inputs!B58)+Inputs!B58,0,Shocks!B11)</f>
        <v>27539.068914514359</v>
      </c>
      <c r="DW11" s="27">
        <f ca="1">NORMINV(RAND()*(1-2*Inputs!B58)+Inputs!B58,0,Shocks!B11)</f>
        <v>-8640.4158754406253</v>
      </c>
      <c r="DX11" s="27">
        <f ca="1">NORMINV(RAND()*(1-2*Inputs!B58)+Inputs!B58,0,Shocks!B11)</f>
        <v>-49165.357764183194</v>
      </c>
      <c r="DY11" s="27">
        <f ca="1">NORMINV(RAND()*(1-2*Inputs!B58)+Inputs!B58,0,Shocks!B11)</f>
        <v>52653.983134472415</v>
      </c>
      <c r="DZ11" s="27">
        <f ca="1">NORMINV(RAND()*(1-2*Inputs!B58)+Inputs!B58,0,Shocks!B11)</f>
        <v>11147.869866288724</v>
      </c>
      <c r="EA11" s="28">
        <f ca="1">SUM(DO11:DZ11)</f>
        <v>-68736.672664565311</v>
      </c>
      <c r="EB11" s="27">
        <f ca="1">NORMINV(RAND()*(1-2*Inputs!B58)+Inputs!B58,0,Shocks!B11)</f>
        <v>12379.588391225767</v>
      </c>
      <c r="EC11" s="27">
        <f ca="1">NORMINV(RAND()*(1-2*Inputs!B58)+Inputs!B58,0,Shocks!B11)</f>
        <v>15632.598003415344</v>
      </c>
      <c r="ED11" s="27">
        <f ca="1">NORMINV(RAND()*(1-2*Inputs!B58)+Inputs!B58,0,Shocks!B11)</f>
        <v>-25422.061139796955</v>
      </c>
      <c r="EE11" s="27">
        <f ca="1">NORMINV(RAND()*(1-2*Inputs!B58)+Inputs!B58,0,Shocks!B11)</f>
        <v>-37000.622879355527</v>
      </c>
      <c r="EF11" s="27">
        <f ca="1">NORMINV(RAND()*(1-2*Inputs!B58)+Inputs!B58,0,Shocks!B11)</f>
        <v>29404.691057273682</v>
      </c>
      <c r="EG11" s="27">
        <f ca="1">NORMINV(RAND()*(1-2*Inputs!B58)+Inputs!B58,0,Shocks!B11)</f>
        <v>1431.1358162764129</v>
      </c>
      <c r="EH11" s="27">
        <f ca="1">NORMINV(RAND()*(1-2*Inputs!B58)+Inputs!B58,0,Shocks!B11)</f>
        <v>13695.680593074889</v>
      </c>
      <c r="EI11" s="27">
        <f ca="1">NORMINV(RAND()*(1-2*Inputs!B58)+Inputs!B58,0,Shocks!B11)</f>
        <v>41777.798311049119</v>
      </c>
      <c r="EJ11" s="27">
        <f ca="1">NORMINV(RAND()*(1-2*Inputs!B58)+Inputs!B58,0,Shocks!B11)</f>
        <v>-29194.549257490507</v>
      </c>
      <c r="EK11" s="27">
        <f ca="1">NORMINV(RAND()*(1-2*Inputs!B58)+Inputs!B58,0,Shocks!B11)</f>
        <v>-618.67456235608768</v>
      </c>
      <c r="EL11" s="27">
        <f ca="1">NORMINV(RAND()*(1-2*Inputs!B58)+Inputs!B58,0,Shocks!B11)</f>
        <v>36413.066825128975</v>
      </c>
      <c r="EM11" s="27">
        <f ca="1">NORMINV(RAND()*(1-2*Inputs!B58)+Inputs!B58,0,Shocks!B11)</f>
        <v>33804.43072755757</v>
      </c>
      <c r="EN11" s="28">
        <f ca="1">SUM(EB11:EM11)</f>
        <v>92303.081886002677</v>
      </c>
    </row>
    <row r="13" spans="1:144" ht="12.75" customHeight="1" x14ac:dyDescent="0.2">
      <c r="A13" s="7" t="str">
        <f>Labels!B39</f>
        <v>Equilibrium Output</v>
      </c>
      <c r="B13" s="23">
        <f>Inputs!B40/12</f>
        <v>1166666.6666666667</v>
      </c>
    </row>
    <row r="14" spans="1:144" ht="12.75" customHeight="1" x14ac:dyDescent="0.2">
      <c r="A14" s="9" t="str">
        <f>Labels!B26</f>
        <v>Flexibility Capacity Utilization</v>
      </c>
      <c r="B14" s="30">
        <f>Inputs!B21</f>
        <v>0.5</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EN17"/>
  <sheetViews>
    <sheetView workbookViewId="0"/>
  </sheetViews>
  <sheetFormatPr defaultRowHeight="12.75" customHeight="1" x14ac:dyDescent="0.2"/>
  <cols>
    <col min="1" max="1" width="23.85546875" customWidth="1"/>
    <col min="2" max="2" width="8.5703125" customWidth="1"/>
    <col min="3" max="3" width="8.7109375" customWidth="1"/>
    <col min="4" max="5" width="8.5703125" customWidth="1"/>
    <col min="6" max="6" width="8.85546875" customWidth="1"/>
    <col min="7" max="7" width="8.7109375" customWidth="1"/>
    <col min="8" max="8" width="8.42578125" customWidth="1"/>
    <col min="9" max="9" width="9" customWidth="1"/>
    <col min="10" max="10" width="8.7109375" customWidth="1"/>
    <col min="11" max="11" width="8.5703125" customWidth="1"/>
    <col min="12" max="12" width="8.85546875" customWidth="1"/>
    <col min="13" max="13" width="8.7109375" customWidth="1"/>
    <col min="14" max="14" width="9.7109375" customWidth="1"/>
    <col min="15" max="15" width="8.5703125" customWidth="1"/>
    <col min="16" max="16" width="8.7109375" customWidth="1"/>
    <col min="17" max="18" width="8.5703125" customWidth="1"/>
    <col min="19" max="19" width="8.85546875" customWidth="1"/>
    <col min="20" max="20" width="8.7109375" customWidth="1"/>
    <col min="21" max="21" width="8.42578125" customWidth="1"/>
    <col min="22" max="22" width="8.85546875" customWidth="1"/>
    <col min="23" max="23" width="8.7109375" customWidth="1"/>
    <col min="24" max="24" width="8.42578125" customWidth="1"/>
    <col min="25" max="25" width="8.85546875" customWidth="1"/>
    <col min="26" max="26" width="8.7109375" customWidth="1"/>
    <col min="27" max="27" width="9.7109375" customWidth="1"/>
    <col min="28" max="28" width="8.5703125" customWidth="1"/>
    <col min="29" max="29" width="8.7109375" customWidth="1"/>
    <col min="30" max="31" width="8.5703125" customWidth="1"/>
    <col min="32" max="32" width="8.85546875" customWidth="1"/>
    <col min="33" max="33" width="8.7109375" customWidth="1"/>
    <col min="34" max="34" width="8.42578125" customWidth="1"/>
    <col min="35" max="35" width="9" customWidth="1"/>
    <col min="36" max="36" width="8.7109375" customWidth="1"/>
    <col min="37" max="37" width="8.5703125" customWidth="1"/>
    <col min="38" max="38" width="8.85546875" customWidth="1"/>
    <col min="39" max="39" width="8.7109375" customWidth="1"/>
    <col min="40" max="40" width="9.7109375" customWidth="1"/>
    <col min="41" max="41" width="8.5703125" customWidth="1"/>
    <col min="42" max="42" width="8.7109375" customWidth="1"/>
    <col min="43" max="44" width="8.5703125" customWidth="1"/>
    <col min="45" max="45" width="8.85546875" customWidth="1"/>
    <col min="46" max="46" width="8.7109375" customWidth="1"/>
    <col min="47" max="47" width="8.42578125" customWidth="1"/>
    <col min="48" max="48" width="9" customWidth="1"/>
    <col min="49" max="49" width="8.7109375" customWidth="1"/>
    <col min="50" max="50" width="8.5703125" customWidth="1"/>
    <col min="51" max="51" width="8.85546875" customWidth="1"/>
    <col min="52" max="52" width="8.7109375" customWidth="1"/>
    <col min="53" max="53" width="9.7109375" customWidth="1"/>
    <col min="54" max="54" width="8.5703125" customWidth="1"/>
    <col min="55" max="55" width="8.7109375" customWidth="1"/>
    <col min="56" max="57" width="8.5703125" customWidth="1"/>
    <col min="58" max="58" width="8.85546875" customWidth="1"/>
    <col min="59" max="59" width="8.7109375" customWidth="1"/>
    <col min="60" max="60" width="8.42578125" customWidth="1"/>
    <col min="61" max="61" width="9" customWidth="1"/>
    <col min="62" max="62" width="8.7109375" customWidth="1"/>
    <col min="63" max="63" width="8.5703125" customWidth="1"/>
    <col min="64" max="64" width="8.85546875" customWidth="1"/>
    <col min="65" max="65" width="8.7109375" customWidth="1"/>
    <col min="66" max="66" width="9.7109375" customWidth="1"/>
    <col min="67" max="67" width="8.5703125" customWidth="1"/>
    <col min="68" max="68" width="8.7109375" customWidth="1"/>
    <col min="69" max="70" width="8.5703125" customWidth="1"/>
    <col min="71" max="71" width="8.85546875" customWidth="1"/>
    <col min="72" max="72" width="8.7109375" customWidth="1"/>
    <col min="73" max="73" width="8.42578125" customWidth="1"/>
    <col min="74" max="74" width="9" customWidth="1"/>
    <col min="75" max="75" width="8.7109375" customWidth="1"/>
    <col min="76" max="76" width="8.5703125" customWidth="1"/>
    <col min="77" max="77" width="8.85546875" customWidth="1"/>
    <col min="78" max="78" width="8.7109375" customWidth="1"/>
    <col min="79" max="79" width="9.7109375" customWidth="1"/>
    <col min="80" max="80" width="8.5703125" customWidth="1"/>
    <col min="81" max="81" width="8.7109375" customWidth="1"/>
    <col min="82" max="83" width="8.5703125" customWidth="1"/>
    <col min="84" max="84" width="8.85546875" customWidth="1"/>
    <col min="85" max="85" width="8.7109375" customWidth="1"/>
    <col min="86" max="86" width="8.42578125" customWidth="1"/>
    <col min="87" max="87" width="9" customWidth="1"/>
    <col min="88" max="88" width="8.7109375" customWidth="1"/>
    <col min="89" max="89" width="8.5703125" customWidth="1"/>
    <col min="90" max="90" width="8.85546875" customWidth="1"/>
    <col min="91" max="91" width="8.7109375" customWidth="1"/>
    <col min="92" max="92" width="9.7109375" customWidth="1"/>
    <col min="93" max="93" width="8.5703125" customWidth="1"/>
    <col min="94" max="94" width="8.7109375" customWidth="1"/>
    <col min="95" max="96" width="8.5703125" customWidth="1"/>
    <col min="97" max="97" width="8.85546875" customWidth="1"/>
    <col min="98" max="98" width="8.7109375" customWidth="1"/>
    <col min="99" max="99" width="8.42578125" customWidth="1"/>
    <col min="100" max="100" width="9" customWidth="1"/>
    <col min="101" max="101" width="8.7109375" customWidth="1"/>
    <col min="102" max="102" width="8.5703125" customWidth="1"/>
    <col min="103" max="103" width="8.85546875" customWidth="1"/>
    <col min="104" max="104" width="8.7109375" customWidth="1"/>
    <col min="105" max="105" width="9.7109375" customWidth="1"/>
    <col min="106" max="106" width="8.5703125" customWidth="1"/>
    <col min="107" max="107" width="8.7109375" customWidth="1"/>
    <col min="108" max="109" width="8.5703125" customWidth="1"/>
    <col min="110" max="110" width="8.85546875" customWidth="1"/>
    <col min="111" max="111" width="8.7109375" customWidth="1"/>
    <col min="112" max="112" width="8.42578125" customWidth="1"/>
    <col min="113" max="113" width="9" customWidth="1"/>
    <col min="114" max="114" width="8.7109375" customWidth="1"/>
    <col min="115" max="115" width="8.5703125" customWidth="1"/>
    <col min="116" max="116" width="8.85546875" customWidth="1"/>
    <col min="117" max="117" width="8.7109375" customWidth="1"/>
    <col min="118" max="118" width="9.7109375" customWidth="1"/>
    <col min="119" max="119" width="8.5703125" customWidth="1"/>
    <col min="120" max="120" width="8.7109375" customWidth="1"/>
    <col min="121" max="122" width="8.5703125" customWidth="1"/>
    <col min="123" max="123" width="8.85546875" customWidth="1"/>
    <col min="124" max="124" width="8.7109375" customWidth="1"/>
    <col min="125" max="125" width="8.42578125" customWidth="1"/>
    <col min="126" max="126" width="9" customWidth="1"/>
    <col min="127" max="127" width="8.7109375" customWidth="1"/>
    <col min="128" max="128" width="8.5703125" customWidth="1"/>
    <col min="129" max="129" width="8.85546875" customWidth="1"/>
    <col min="130" max="130" width="8.7109375" customWidth="1"/>
    <col min="131" max="131" width="9.7109375" customWidth="1"/>
    <col min="132" max="132" width="8.5703125" customWidth="1"/>
    <col min="133" max="133" width="8.7109375" customWidth="1"/>
    <col min="134" max="135" width="8.5703125" customWidth="1"/>
    <col min="136" max="136" width="8.85546875" customWidth="1"/>
    <col min="137" max="137" width="8.7109375" customWidth="1"/>
    <col min="138" max="138" width="8.42578125" customWidth="1"/>
    <col min="139" max="139" width="9" customWidth="1"/>
    <col min="140" max="140" width="8.7109375" customWidth="1"/>
    <col min="141" max="141" width="8.5703125" customWidth="1"/>
    <col min="142" max="142" width="8.85546875" customWidth="1"/>
    <col min="143" max="143" width="8.7109375" customWidth="1"/>
    <col min="144" max="144" width="9.7109375" customWidth="1"/>
  </cols>
  <sheetData>
    <row r="1" spans="1:144" ht="12.75" customHeight="1" x14ac:dyDescent="0.2">
      <c r="A1" s="112" t="str">
        <f>"Equilibrium Economy with Shocks"</f>
        <v>Equilibrium Economy with Shocks</v>
      </c>
      <c r="B1" s="112"/>
      <c r="C1" s="112"/>
    </row>
    <row r="2" spans="1:144" ht="12.75" customHeight="1" x14ac:dyDescent="0.2">
      <c r="A2" s="112" t="str">
        <f>"Model: "&amp;Inputs!B8</f>
        <v>Model: Test Model</v>
      </c>
      <c r="B2" s="112"/>
      <c r="C2" s="112"/>
    </row>
    <row r="3" spans="1:144" ht="12.75" customHeight="1" x14ac:dyDescent="0.2">
      <c r="A3" s="112" t="str">
        <f>"$ millions"</f>
        <v>$ millions</v>
      </c>
      <c r="B3" s="112"/>
      <c r="C3" s="112"/>
    </row>
    <row r="4" spans="1:144" ht="12.75" customHeight="1" x14ac:dyDescent="0.2">
      <c r="A4" s="112" t="str">
        <f>"Gov"</f>
        <v>Gov</v>
      </c>
      <c r="B4" s="112"/>
      <c r="C4" s="112"/>
    </row>
    <row r="5" spans="1:144" ht="12.75" customHeight="1" x14ac:dyDescent="0.2">
      <c r="A5" s="112" t="str">
        <f>""</f>
        <v/>
      </c>
      <c r="B5" s="112"/>
      <c r="C5" s="112"/>
    </row>
    <row r="6" spans="1:144" ht="12.75" customHeight="1" x14ac:dyDescent="0.2">
      <c r="B6" s="19" t="str">
        <f>ZZZ__FnCalls!F7</f>
        <v>MMM 2010</v>
      </c>
      <c r="C6" s="20" t="str">
        <f>ZZZ__FnCalls!F8</f>
        <v>MMM 2010</v>
      </c>
      <c r="D6" s="20" t="str">
        <f>ZZZ__FnCalls!F9</f>
        <v>MMM 2010</v>
      </c>
      <c r="E6" s="20" t="str">
        <f>ZZZ__FnCalls!F10</f>
        <v>MMM 2010</v>
      </c>
      <c r="F6" s="20" t="str">
        <f>ZZZ__FnCalls!F11</f>
        <v>MMM 2010</v>
      </c>
      <c r="G6" s="20" t="str">
        <f>ZZZ__FnCalls!F12</f>
        <v>MMM 2010</v>
      </c>
      <c r="H6" s="20" t="str">
        <f>ZZZ__FnCalls!F13</f>
        <v>MMM 2010</v>
      </c>
      <c r="I6" s="20" t="str">
        <f>ZZZ__FnCalls!F14</f>
        <v>MMM 2010</v>
      </c>
      <c r="J6" s="20" t="str">
        <f>ZZZ__FnCalls!F15</f>
        <v>MMM 2010</v>
      </c>
      <c r="K6" s="20" t="str">
        <f>ZZZ__FnCalls!F16</f>
        <v>MMM 2010</v>
      </c>
      <c r="L6" s="20" t="str">
        <f>ZZZ__FnCalls!F17</f>
        <v>MMM 2010</v>
      </c>
      <c r="M6" s="20" t="str">
        <f>ZZZ__FnCalls!F18</f>
        <v>MMM 2010</v>
      </c>
      <c r="N6" s="21" t="str">
        <f>ZZZ__FnCalls!H7</f>
        <v>2010</v>
      </c>
      <c r="O6" s="20" t="str">
        <f>ZZZ__FnCalls!F19</f>
        <v>MMM 2011</v>
      </c>
      <c r="P6" s="20" t="str">
        <f>ZZZ__FnCalls!F20</f>
        <v>MMM 2011</v>
      </c>
      <c r="Q6" s="20" t="str">
        <f>ZZZ__FnCalls!F21</f>
        <v>MMM 2011</v>
      </c>
      <c r="R6" s="20" t="str">
        <f>ZZZ__FnCalls!F22</f>
        <v>MMM 2011</v>
      </c>
      <c r="S6" s="20" t="str">
        <f>ZZZ__FnCalls!F23</f>
        <v>MMM 2011</v>
      </c>
      <c r="T6" s="20" t="str">
        <f>ZZZ__FnCalls!F24</f>
        <v>MMM 2011</v>
      </c>
      <c r="U6" s="20" t="str">
        <f>ZZZ__FnCalls!F25</f>
        <v>MMM 2011</v>
      </c>
      <c r="V6" s="20" t="str">
        <f>ZZZ__FnCalls!F26</f>
        <v>MMM 2011</v>
      </c>
      <c r="W6" s="20" t="str">
        <f>ZZZ__FnCalls!F27</f>
        <v>MMM 2011</v>
      </c>
      <c r="X6" s="20" t="str">
        <f>ZZZ__FnCalls!F28</f>
        <v>MMM 2011</v>
      </c>
      <c r="Y6" s="20" t="str">
        <f>ZZZ__FnCalls!F29</f>
        <v>MMM 2011</v>
      </c>
      <c r="Z6" s="20" t="str">
        <f>ZZZ__FnCalls!F30</f>
        <v>MMM 2011</v>
      </c>
      <c r="AA6" s="21" t="str">
        <f>ZZZ__FnCalls!H19</f>
        <v>2011</v>
      </c>
      <c r="AB6" s="20" t="str">
        <f>ZZZ__FnCalls!F31</f>
        <v>MMM 2012</v>
      </c>
      <c r="AC6" s="20" t="str">
        <f>ZZZ__FnCalls!F32</f>
        <v>MMM 2012</v>
      </c>
      <c r="AD6" s="20" t="str">
        <f>ZZZ__FnCalls!F33</f>
        <v>MMM 2012</v>
      </c>
      <c r="AE6" s="20" t="str">
        <f>ZZZ__FnCalls!F34</f>
        <v>MMM 2012</v>
      </c>
      <c r="AF6" s="20" t="str">
        <f>ZZZ__FnCalls!F35</f>
        <v>MMM 2012</v>
      </c>
      <c r="AG6" s="20" t="str">
        <f>ZZZ__FnCalls!F36</f>
        <v>MMM 2012</v>
      </c>
      <c r="AH6" s="20" t="str">
        <f>ZZZ__FnCalls!F37</f>
        <v>MMM 2012</v>
      </c>
      <c r="AI6" s="20" t="str">
        <f>ZZZ__FnCalls!F38</f>
        <v>MMM 2012</v>
      </c>
      <c r="AJ6" s="20" t="str">
        <f>ZZZ__FnCalls!F39</f>
        <v>MMM 2012</v>
      </c>
      <c r="AK6" s="20" t="str">
        <f>ZZZ__FnCalls!F40</f>
        <v>MMM 2012</v>
      </c>
      <c r="AL6" s="20" t="str">
        <f>ZZZ__FnCalls!F41</f>
        <v>MMM 2012</v>
      </c>
      <c r="AM6" s="20" t="str">
        <f>ZZZ__FnCalls!F42</f>
        <v>MMM 2012</v>
      </c>
      <c r="AN6" s="21" t="str">
        <f>ZZZ__FnCalls!H31</f>
        <v>2012</v>
      </c>
      <c r="AO6" s="20" t="str">
        <f>ZZZ__FnCalls!F43</f>
        <v>MMM 2013</v>
      </c>
      <c r="AP6" s="20" t="str">
        <f>ZZZ__FnCalls!F44</f>
        <v>MMM 2013</v>
      </c>
      <c r="AQ6" s="20" t="str">
        <f>ZZZ__FnCalls!F45</f>
        <v>MMM 2013</v>
      </c>
      <c r="AR6" s="20" t="str">
        <f>ZZZ__FnCalls!F46</f>
        <v>MMM 2013</v>
      </c>
      <c r="AS6" s="20" t="str">
        <f>ZZZ__FnCalls!F47</f>
        <v>MMM 2013</v>
      </c>
      <c r="AT6" s="20" t="str">
        <f>ZZZ__FnCalls!F48</f>
        <v>MMM 2013</v>
      </c>
      <c r="AU6" s="20" t="str">
        <f>ZZZ__FnCalls!F49</f>
        <v>MMM 2013</v>
      </c>
      <c r="AV6" s="20" t="str">
        <f>ZZZ__FnCalls!F50</f>
        <v>MMM 2013</v>
      </c>
      <c r="AW6" s="20" t="str">
        <f>ZZZ__FnCalls!F51</f>
        <v>MMM 2013</v>
      </c>
      <c r="AX6" s="20" t="str">
        <f>ZZZ__FnCalls!F52</f>
        <v>MMM 2013</v>
      </c>
      <c r="AY6" s="20" t="str">
        <f>ZZZ__FnCalls!F53</f>
        <v>MMM 2013</v>
      </c>
      <c r="AZ6" s="20" t="str">
        <f>ZZZ__FnCalls!F54</f>
        <v>MMM 2013</v>
      </c>
      <c r="BA6" s="21" t="str">
        <f>ZZZ__FnCalls!H43</f>
        <v>2013</v>
      </c>
      <c r="BB6" s="20" t="str">
        <f>ZZZ__FnCalls!F55</f>
        <v>MMM 2014</v>
      </c>
      <c r="BC6" s="20" t="str">
        <f>ZZZ__FnCalls!F56</f>
        <v>MMM 2014</v>
      </c>
      <c r="BD6" s="20" t="str">
        <f>ZZZ__FnCalls!F57</f>
        <v>MMM 2014</v>
      </c>
      <c r="BE6" s="20" t="str">
        <f>ZZZ__FnCalls!F58</f>
        <v>MMM 2014</v>
      </c>
      <c r="BF6" s="20" t="str">
        <f>ZZZ__FnCalls!F59</f>
        <v>MMM 2014</v>
      </c>
      <c r="BG6" s="20" t="str">
        <f>ZZZ__FnCalls!F60</f>
        <v>MMM 2014</v>
      </c>
      <c r="BH6" s="20" t="str">
        <f>ZZZ__FnCalls!F61</f>
        <v>MMM 2014</v>
      </c>
      <c r="BI6" s="20" t="str">
        <f>ZZZ__FnCalls!F62</f>
        <v>MMM 2014</v>
      </c>
      <c r="BJ6" s="20" t="str">
        <f>ZZZ__FnCalls!F63</f>
        <v>MMM 2014</v>
      </c>
      <c r="BK6" s="20" t="str">
        <f>ZZZ__FnCalls!F64</f>
        <v>MMM 2014</v>
      </c>
      <c r="BL6" s="20" t="str">
        <f>ZZZ__FnCalls!F65</f>
        <v>MMM 2014</v>
      </c>
      <c r="BM6" s="20" t="str">
        <f>ZZZ__FnCalls!F66</f>
        <v>MMM 2014</v>
      </c>
      <c r="BN6" s="21" t="str">
        <f>ZZZ__FnCalls!H55</f>
        <v>2014</v>
      </c>
      <c r="BO6" s="20" t="str">
        <f>ZZZ__FnCalls!F67</f>
        <v>MMM 2015</v>
      </c>
      <c r="BP6" s="20" t="str">
        <f>ZZZ__FnCalls!F68</f>
        <v>MMM 2015</v>
      </c>
      <c r="BQ6" s="20" t="str">
        <f>ZZZ__FnCalls!F69</f>
        <v>MMM 2015</v>
      </c>
      <c r="BR6" s="20" t="str">
        <f>ZZZ__FnCalls!F70</f>
        <v>MMM 2015</v>
      </c>
      <c r="BS6" s="20" t="str">
        <f>ZZZ__FnCalls!F71</f>
        <v>MMM 2015</v>
      </c>
      <c r="BT6" s="20" t="str">
        <f>ZZZ__FnCalls!F72</f>
        <v>MMM 2015</v>
      </c>
      <c r="BU6" s="20" t="str">
        <f>ZZZ__FnCalls!F73</f>
        <v>MMM 2015</v>
      </c>
      <c r="BV6" s="20" t="str">
        <f>ZZZ__FnCalls!F74</f>
        <v>MMM 2015</v>
      </c>
      <c r="BW6" s="20" t="str">
        <f>ZZZ__FnCalls!F75</f>
        <v>MMM 2015</v>
      </c>
      <c r="BX6" s="20" t="str">
        <f>ZZZ__FnCalls!F76</f>
        <v>MMM 2015</v>
      </c>
      <c r="BY6" s="20" t="str">
        <f>ZZZ__FnCalls!F77</f>
        <v>MMM 2015</v>
      </c>
      <c r="BZ6" s="20" t="str">
        <f>ZZZ__FnCalls!F78</f>
        <v>MMM 2015</v>
      </c>
      <c r="CA6" s="21" t="str">
        <f>ZZZ__FnCalls!H67</f>
        <v>2015</v>
      </c>
      <c r="CB6" s="20" t="str">
        <f>ZZZ__FnCalls!F79</f>
        <v>MMM 2016</v>
      </c>
      <c r="CC6" s="20" t="str">
        <f>ZZZ__FnCalls!F80</f>
        <v>MMM 2016</v>
      </c>
      <c r="CD6" s="20" t="str">
        <f>ZZZ__FnCalls!F81</f>
        <v>MMM 2016</v>
      </c>
      <c r="CE6" s="20" t="str">
        <f>ZZZ__FnCalls!F82</f>
        <v>MMM 2016</v>
      </c>
      <c r="CF6" s="20" t="str">
        <f>ZZZ__FnCalls!F83</f>
        <v>MMM 2016</v>
      </c>
      <c r="CG6" s="20" t="str">
        <f>ZZZ__FnCalls!F84</f>
        <v>MMM 2016</v>
      </c>
      <c r="CH6" s="20" t="str">
        <f>ZZZ__FnCalls!F85</f>
        <v>MMM 2016</v>
      </c>
      <c r="CI6" s="20" t="str">
        <f>ZZZ__FnCalls!F86</f>
        <v>MMM 2016</v>
      </c>
      <c r="CJ6" s="20" t="str">
        <f>ZZZ__FnCalls!F87</f>
        <v>MMM 2016</v>
      </c>
      <c r="CK6" s="20" t="str">
        <f>ZZZ__FnCalls!F88</f>
        <v>MMM 2016</v>
      </c>
      <c r="CL6" s="20" t="str">
        <f>ZZZ__FnCalls!F89</f>
        <v>MMM 2016</v>
      </c>
      <c r="CM6" s="20" t="str">
        <f>ZZZ__FnCalls!F90</f>
        <v>MMM 2016</v>
      </c>
      <c r="CN6" s="21" t="str">
        <f>ZZZ__FnCalls!H79</f>
        <v>2016</v>
      </c>
      <c r="CO6" s="20" t="str">
        <f>ZZZ__FnCalls!F91</f>
        <v>MMM 2017</v>
      </c>
      <c r="CP6" s="20" t="str">
        <f>ZZZ__FnCalls!F92</f>
        <v>MMM 2017</v>
      </c>
      <c r="CQ6" s="20" t="str">
        <f>ZZZ__FnCalls!F93</f>
        <v>MMM 2017</v>
      </c>
      <c r="CR6" s="20" t="str">
        <f>ZZZ__FnCalls!F94</f>
        <v>MMM 2017</v>
      </c>
      <c r="CS6" s="20" t="str">
        <f>ZZZ__FnCalls!F95</f>
        <v>MMM 2017</v>
      </c>
      <c r="CT6" s="20" t="str">
        <f>ZZZ__FnCalls!F96</f>
        <v>MMM 2017</v>
      </c>
      <c r="CU6" s="20" t="str">
        <f>ZZZ__FnCalls!F97</f>
        <v>MMM 2017</v>
      </c>
      <c r="CV6" s="20" t="str">
        <f>ZZZ__FnCalls!F98</f>
        <v>MMM 2017</v>
      </c>
      <c r="CW6" s="20" t="str">
        <f>ZZZ__FnCalls!F99</f>
        <v>MMM 2017</v>
      </c>
      <c r="CX6" s="20" t="str">
        <f>ZZZ__FnCalls!F100</f>
        <v>MMM 2017</v>
      </c>
      <c r="CY6" s="20" t="str">
        <f>ZZZ__FnCalls!F101</f>
        <v>MMM 2017</v>
      </c>
      <c r="CZ6" s="20" t="str">
        <f>ZZZ__FnCalls!F102</f>
        <v>MMM 2017</v>
      </c>
      <c r="DA6" s="21" t="str">
        <f>ZZZ__FnCalls!H91</f>
        <v>2017</v>
      </c>
      <c r="DB6" s="20" t="str">
        <f>ZZZ__FnCalls!F103</f>
        <v>MMM 2018</v>
      </c>
      <c r="DC6" s="20" t="str">
        <f>ZZZ__FnCalls!F104</f>
        <v>MMM 2018</v>
      </c>
      <c r="DD6" s="20" t="str">
        <f>ZZZ__FnCalls!F105</f>
        <v>MMM 2018</v>
      </c>
      <c r="DE6" s="20" t="str">
        <f>ZZZ__FnCalls!F106</f>
        <v>MMM 2018</v>
      </c>
      <c r="DF6" s="20" t="str">
        <f>ZZZ__FnCalls!F107</f>
        <v>MMM 2018</v>
      </c>
      <c r="DG6" s="20" t="str">
        <f>ZZZ__FnCalls!F108</f>
        <v>MMM 2018</v>
      </c>
      <c r="DH6" s="20" t="str">
        <f>ZZZ__FnCalls!F109</f>
        <v>MMM 2018</v>
      </c>
      <c r="DI6" s="20" t="str">
        <f>ZZZ__FnCalls!F110</f>
        <v>MMM 2018</v>
      </c>
      <c r="DJ6" s="20" t="str">
        <f>ZZZ__FnCalls!F111</f>
        <v>MMM 2018</v>
      </c>
      <c r="DK6" s="20" t="str">
        <f>ZZZ__FnCalls!F112</f>
        <v>MMM 2018</v>
      </c>
      <c r="DL6" s="20" t="str">
        <f>ZZZ__FnCalls!F113</f>
        <v>MMM 2018</v>
      </c>
      <c r="DM6" s="20" t="str">
        <f>ZZZ__FnCalls!F114</f>
        <v>MMM 2018</v>
      </c>
      <c r="DN6" s="21" t="str">
        <f>ZZZ__FnCalls!H103</f>
        <v>2018</v>
      </c>
      <c r="DO6" s="20" t="str">
        <f>ZZZ__FnCalls!F115</f>
        <v>MMM 2019</v>
      </c>
      <c r="DP6" s="20" t="str">
        <f>ZZZ__FnCalls!F116</f>
        <v>MMM 2019</v>
      </c>
      <c r="DQ6" s="20" t="str">
        <f>ZZZ__FnCalls!F117</f>
        <v>MMM 2019</v>
      </c>
      <c r="DR6" s="20" t="str">
        <f>ZZZ__FnCalls!F118</f>
        <v>MMM 2019</v>
      </c>
      <c r="DS6" s="20" t="str">
        <f>ZZZ__FnCalls!F119</f>
        <v>MMM 2019</v>
      </c>
      <c r="DT6" s="20" t="str">
        <f>ZZZ__FnCalls!F120</f>
        <v>MMM 2019</v>
      </c>
      <c r="DU6" s="20" t="str">
        <f>ZZZ__FnCalls!F121</f>
        <v>MMM 2019</v>
      </c>
      <c r="DV6" s="20" t="str">
        <f>ZZZ__FnCalls!F122</f>
        <v>MMM 2019</v>
      </c>
      <c r="DW6" s="20" t="str">
        <f>ZZZ__FnCalls!F123</f>
        <v>MMM 2019</v>
      </c>
      <c r="DX6" s="20" t="str">
        <f>ZZZ__FnCalls!F124</f>
        <v>MMM 2019</v>
      </c>
      <c r="DY6" s="20" t="str">
        <f>ZZZ__FnCalls!F125</f>
        <v>MMM 2019</v>
      </c>
      <c r="DZ6" s="20" t="str">
        <f>ZZZ__FnCalls!F126</f>
        <v>MMM 2019</v>
      </c>
      <c r="EA6" s="21" t="str">
        <f>ZZZ__FnCalls!H115</f>
        <v>2019</v>
      </c>
      <c r="EB6" s="20" t="str">
        <f>ZZZ__FnCalls!F127</f>
        <v>MMM 2020</v>
      </c>
      <c r="EC6" s="20" t="str">
        <f>ZZZ__FnCalls!F128</f>
        <v>MMM 2020</v>
      </c>
      <c r="ED6" s="20" t="str">
        <f>ZZZ__FnCalls!F129</f>
        <v>MMM 2020</v>
      </c>
      <c r="EE6" s="20" t="str">
        <f>ZZZ__FnCalls!F130</f>
        <v>MMM 2020</v>
      </c>
      <c r="EF6" s="20" t="str">
        <f>ZZZ__FnCalls!F131</f>
        <v>MMM 2020</v>
      </c>
      <c r="EG6" s="20" t="str">
        <f>ZZZ__FnCalls!F132</f>
        <v>MMM 2020</v>
      </c>
      <c r="EH6" s="20" t="str">
        <f>ZZZ__FnCalls!F133</f>
        <v>MMM 2020</v>
      </c>
      <c r="EI6" s="20" t="str">
        <f>ZZZ__FnCalls!F134</f>
        <v>MMM 2020</v>
      </c>
      <c r="EJ6" s="20" t="str">
        <f>ZZZ__FnCalls!F135</f>
        <v>MMM 2020</v>
      </c>
      <c r="EK6" s="20" t="str">
        <f>ZZZ__FnCalls!F136</f>
        <v>MMM 2020</v>
      </c>
      <c r="EL6" s="20" t="str">
        <f>ZZZ__FnCalls!F137</f>
        <v>MMM 2020</v>
      </c>
      <c r="EM6" s="20" t="str">
        <f>ZZZ__FnCalls!F138</f>
        <v>MMM 2020</v>
      </c>
      <c r="EN6" s="21" t="str">
        <f>ZZZ__FnCalls!H127</f>
        <v>2020</v>
      </c>
    </row>
    <row r="7" spans="1:144" ht="12.75" customHeight="1" x14ac:dyDescent="0.2">
      <c r="A7" s="7" t="str">
        <f>Labels!B29</f>
        <v>Gov Spending</v>
      </c>
      <c r="B7" s="22">
        <f>Demand!B17</f>
        <v>233333.33333333337</v>
      </c>
      <c r="C7" s="22">
        <f>Demand!C17</f>
        <v>233333.33333333337</v>
      </c>
      <c r="D7" s="22">
        <f>Demand!D17</f>
        <v>233333.33333333337</v>
      </c>
      <c r="E7" s="22">
        <f>Demand!E17</f>
        <v>233333.33333333337</v>
      </c>
      <c r="F7" s="22">
        <f>Demand!F17</f>
        <v>233333.33333333337</v>
      </c>
      <c r="G7" s="22">
        <f>Demand!G17</f>
        <v>233333.33333333337</v>
      </c>
      <c r="H7" s="22">
        <f>Demand!H17</f>
        <v>233333.33333333337</v>
      </c>
      <c r="I7" s="22">
        <f>Demand!I17</f>
        <v>233333.33333333337</v>
      </c>
      <c r="J7" s="22">
        <f>Demand!J17</f>
        <v>233333.33333333337</v>
      </c>
      <c r="K7" s="22">
        <f>Demand!K17</f>
        <v>233333.33333333337</v>
      </c>
      <c r="L7" s="22">
        <f>Demand!L17</f>
        <v>233333.33333333337</v>
      </c>
      <c r="M7" s="22">
        <f>Demand!M17</f>
        <v>233333.33333333337</v>
      </c>
      <c r="N7" s="23">
        <f>SUM(Demand!B17:M17)</f>
        <v>2800000.0000000014</v>
      </c>
      <c r="O7" s="22">
        <f>Demand!O17</f>
        <v>233333.33333333337</v>
      </c>
      <c r="P7" s="22">
        <f>Demand!P17</f>
        <v>233333.33333333337</v>
      </c>
      <c r="Q7" s="22">
        <f>Demand!Q17</f>
        <v>233333.33333333337</v>
      </c>
      <c r="R7" s="22">
        <f>Demand!R17</f>
        <v>233333.33333333337</v>
      </c>
      <c r="S7" s="22">
        <f>Demand!S17</f>
        <v>233333.33333333337</v>
      </c>
      <c r="T7" s="22">
        <f>Demand!T17</f>
        <v>233333.33333333337</v>
      </c>
      <c r="U7" s="22">
        <f>Demand!U17</f>
        <v>233333.33333333337</v>
      </c>
      <c r="V7" s="22">
        <f>Demand!V17</f>
        <v>233333.33333333337</v>
      </c>
      <c r="W7" s="22">
        <f>Demand!W17</f>
        <v>233333.33333333337</v>
      </c>
      <c r="X7" s="22">
        <f>Demand!X17</f>
        <v>233333.33333333337</v>
      </c>
      <c r="Y7" s="22">
        <f>Demand!Y17</f>
        <v>233333.33333333337</v>
      </c>
      <c r="Z7" s="22">
        <f>Demand!Z17</f>
        <v>233333.33333333337</v>
      </c>
      <c r="AA7" s="23">
        <f>SUM(Demand!O17:Z17)</f>
        <v>2800000.0000000014</v>
      </c>
      <c r="AB7" s="22">
        <f>Demand!AB17</f>
        <v>233333.33333333337</v>
      </c>
      <c r="AC7" s="22">
        <f>Demand!AC17</f>
        <v>233333.33333333337</v>
      </c>
      <c r="AD7" s="22">
        <f>Demand!AD17</f>
        <v>233333.33333333337</v>
      </c>
      <c r="AE7" s="22">
        <f>Demand!AE17</f>
        <v>233333.33333333337</v>
      </c>
      <c r="AF7" s="22">
        <f>Demand!AF17</f>
        <v>233333.33333333337</v>
      </c>
      <c r="AG7" s="22">
        <f>Demand!AG17</f>
        <v>233333.33333333337</v>
      </c>
      <c r="AH7" s="22">
        <f>Demand!AH17</f>
        <v>233333.33333333337</v>
      </c>
      <c r="AI7" s="22">
        <f>Demand!AI17</f>
        <v>233333.33333333337</v>
      </c>
      <c r="AJ7" s="22">
        <f>Demand!AJ17</f>
        <v>233333.33333333337</v>
      </c>
      <c r="AK7" s="22">
        <f>Demand!AK17</f>
        <v>233333.33333333337</v>
      </c>
      <c r="AL7" s="22">
        <f>Demand!AL17</f>
        <v>233333.33333333337</v>
      </c>
      <c r="AM7" s="22">
        <f>Demand!AM17</f>
        <v>233333.33333333337</v>
      </c>
      <c r="AN7" s="23">
        <f>SUM(Demand!AB17:AM17)</f>
        <v>2800000.0000000014</v>
      </c>
      <c r="AO7" s="22">
        <f>Demand!AO17</f>
        <v>233333.33333333337</v>
      </c>
      <c r="AP7" s="22">
        <f>Demand!AP17</f>
        <v>233333.33333333337</v>
      </c>
      <c r="AQ7" s="22">
        <f>Demand!AQ17</f>
        <v>233333.33333333337</v>
      </c>
      <c r="AR7" s="22">
        <f>Demand!AR17</f>
        <v>233333.33333333337</v>
      </c>
      <c r="AS7" s="22">
        <f>Demand!AS17</f>
        <v>233333.33333333337</v>
      </c>
      <c r="AT7" s="22">
        <f>Demand!AT17</f>
        <v>233333.33333333337</v>
      </c>
      <c r="AU7" s="22">
        <f>Demand!AU17</f>
        <v>233333.33333333337</v>
      </c>
      <c r="AV7" s="22">
        <f>Demand!AV17</f>
        <v>233333.33333333337</v>
      </c>
      <c r="AW7" s="22">
        <f>Demand!AW17</f>
        <v>233333.33333333337</v>
      </c>
      <c r="AX7" s="22">
        <f>Demand!AX17</f>
        <v>233333.33333333337</v>
      </c>
      <c r="AY7" s="22">
        <f>Demand!AY17</f>
        <v>233333.33333333337</v>
      </c>
      <c r="AZ7" s="22">
        <f>Demand!AZ17</f>
        <v>233333.33333333337</v>
      </c>
      <c r="BA7" s="23">
        <f>SUM(Demand!AO17:AZ17)</f>
        <v>2800000.0000000014</v>
      </c>
      <c r="BB7" s="22">
        <f>Demand!BB17</f>
        <v>233333.33333333337</v>
      </c>
      <c r="BC7" s="22">
        <f>Demand!BC17</f>
        <v>233333.33333333337</v>
      </c>
      <c r="BD7" s="22">
        <f>Demand!BD17</f>
        <v>233333.33333333337</v>
      </c>
      <c r="BE7" s="22">
        <f>Demand!BE17</f>
        <v>233333.33333333337</v>
      </c>
      <c r="BF7" s="22">
        <f>Demand!BF17</f>
        <v>233333.33333333337</v>
      </c>
      <c r="BG7" s="22">
        <f>Demand!BG17</f>
        <v>233333.33333333337</v>
      </c>
      <c r="BH7" s="22">
        <f>Demand!BH17</f>
        <v>233333.33333333337</v>
      </c>
      <c r="BI7" s="22">
        <f>Demand!BI17</f>
        <v>233333.33333333337</v>
      </c>
      <c r="BJ7" s="22">
        <f>Demand!BJ17</f>
        <v>233333.33333333337</v>
      </c>
      <c r="BK7" s="22">
        <f>Demand!BK17</f>
        <v>233333.33333333337</v>
      </c>
      <c r="BL7" s="22">
        <f>Demand!BL17</f>
        <v>233333.33333333337</v>
      </c>
      <c r="BM7" s="22">
        <f>Demand!BM17</f>
        <v>233333.33333333337</v>
      </c>
      <c r="BN7" s="23">
        <f>SUM(Demand!BB17:BM17)</f>
        <v>2800000.0000000014</v>
      </c>
      <c r="BO7" s="22">
        <f>Demand!BO17</f>
        <v>233333.33333333337</v>
      </c>
      <c r="BP7" s="22">
        <f>Demand!BP17</f>
        <v>233333.33333333337</v>
      </c>
      <c r="BQ7" s="22">
        <f>Demand!BQ17</f>
        <v>233333.33333333337</v>
      </c>
      <c r="BR7" s="22">
        <f>Demand!BR17</f>
        <v>233333.33333333337</v>
      </c>
      <c r="BS7" s="22">
        <f>Demand!BS17</f>
        <v>233333.33333333337</v>
      </c>
      <c r="BT7" s="22">
        <f>Demand!BT17</f>
        <v>233333.33333333337</v>
      </c>
      <c r="BU7" s="22">
        <f>Demand!BU17</f>
        <v>233333.33333333337</v>
      </c>
      <c r="BV7" s="22">
        <f>Demand!BV17</f>
        <v>233333.33333333337</v>
      </c>
      <c r="BW7" s="22">
        <f>Demand!BW17</f>
        <v>233333.33333333337</v>
      </c>
      <c r="BX7" s="22">
        <f>Demand!BX17</f>
        <v>233333.33333333337</v>
      </c>
      <c r="BY7" s="22">
        <f>Demand!BY17</f>
        <v>233333.33333333337</v>
      </c>
      <c r="BZ7" s="22">
        <f>Demand!BZ17</f>
        <v>233333.33333333337</v>
      </c>
      <c r="CA7" s="23">
        <f>SUM(Demand!BO17:BZ17)</f>
        <v>2800000.0000000014</v>
      </c>
      <c r="CB7" s="22">
        <f>Demand!CB17</f>
        <v>233333.33333333337</v>
      </c>
      <c r="CC7" s="22">
        <f>Demand!CC17</f>
        <v>233333.33333333337</v>
      </c>
      <c r="CD7" s="22">
        <f>Demand!CD17</f>
        <v>233333.33333333337</v>
      </c>
      <c r="CE7" s="22">
        <f>Demand!CE17</f>
        <v>233333.33333333337</v>
      </c>
      <c r="CF7" s="22">
        <f>Demand!CF17</f>
        <v>233333.33333333337</v>
      </c>
      <c r="CG7" s="22">
        <f>Demand!CG17</f>
        <v>233333.33333333337</v>
      </c>
      <c r="CH7" s="22">
        <f>Demand!CH17</f>
        <v>233333.33333333337</v>
      </c>
      <c r="CI7" s="22">
        <f>Demand!CI17</f>
        <v>233333.33333333337</v>
      </c>
      <c r="CJ7" s="22">
        <f>Demand!CJ17</f>
        <v>233333.33333333337</v>
      </c>
      <c r="CK7" s="22">
        <f>Demand!CK17</f>
        <v>233333.33333333337</v>
      </c>
      <c r="CL7" s="22">
        <f>Demand!CL17</f>
        <v>233333.33333333337</v>
      </c>
      <c r="CM7" s="22">
        <f>Demand!CM17</f>
        <v>233333.33333333337</v>
      </c>
      <c r="CN7" s="23">
        <f>SUM(Demand!CB17:CM17)</f>
        <v>2800000.0000000014</v>
      </c>
      <c r="CO7" s="22">
        <f>Demand!CO17</f>
        <v>233333.33333333337</v>
      </c>
      <c r="CP7" s="22">
        <f>Demand!CP17</f>
        <v>233333.33333333337</v>
      </c>
      <c r="CQ7" s="22">
        <f>Demand!CQ17</f>
        <v>233333.33333333337</v>
      </c>
      <c r="CR7" s="22">
        <f>Demand!CR17</f>
        <v>233333.33333333337</v>
      </c>
      <c r="CS7" s="22">
        <f>Demand!CS17</f>
        <v>233333.33333333337</v>
      </c>
      <c r="CT7" s="22">
        <f>Demand!CT17</f>
        <v>233333.33333333337</v>
      </c>
      <c r="CU7" s="22">
        <f>Demand!CU17</f>
        <v>233333.33333333337</v>
      </c>
      <c r="CV7" s="22">
        <f>Demand!CV17</f>
        <v>233333.33333333337</v>
      </c>
      <c r="CW7" s="22">
        <f>Demand!CW17</f>
        <v>233333.33333333337</v>
      </c>
      <c r="CX7" s="22">
        <f>Demand!CX17</f>
        <v>233333.33333333337</v>
      </c>
      <c r="CY7" s="22">
        <f>Demand!CY17</f>
        <v>233333.33333333337</v>
      </c>
      <c r="CZ7" s="22">
        <f>Demand!CZ17</f>
        <v>233333.33333333337</v>
      </c>
      <c r="DA7" s="23">
        <f>SUM(Demand!CO17:CZ17)</f>
        <v>2800000.0000000014</v>
      </c>
      <c r="DB7" s="22">
        <f>Demand!DB17</f>
        <v>233333.33333333337</v>
      </c>
      <c r="DC7" s="22">
        <f>Demand!DC17</f>
        <v>233333.33333333337</v>
      </c>
      <c r="DD7" s="22">
        <f>Demand!DD17</f>
        <v>233333.33333333337</v>
      </c>
      <c r="DE7" s="22">
        <f>Demand!DE17</f>
        <v>233333.33333333337</v>
      </c>
      <c r="DF7" s="22">
        <f>Demand!DF17</f>
        <v>233333.33333333337</v>
      </c>
      <c r="DG7" s="22">
        <f>Demand!DG17</f>
        <v>233333.33333333337</v>
      </c>
      <c r="DH7" s="22">
        <f>Demand!DH17</f>
        <v>233333.33333333337</v>
      </c>
      <c r="DI7" s="22">
        <f>Demand!DI17</f>
        <v>233333.33333333337</v>
      </c>
      <c r="DJ7" s="22">
        <f>Demand!DJ17</f>
        <v>233333.33333333337</v>
      </c>
      <c r="DK7" s="22">
        <f>Demand!DK17</f>
        <v>233333.33333333337</v>
      </c>
      <c r="DL7" s="22">
        <f>Demand!DL17</f>
        <v>233333.33333333337</v>
      </c>
      <c r="DM7" s="22">
        <f>Demand!DM17</f>
        <v>233333.33333333337</v>
      </c>
      <c r="DN7" s="23">
        <f>SUM(Demand!DB17:DM17)</f>
        <v>2800000.0000000014</v>
      </c>
      <c r="DO7" s="22">
        <f>Demand!DO17</f>
        <v>233333.33333333337</v>
      </c>
      <c r="DP7" s="22">
        <f>Demand!DP17</f>
        <v>233333.33333333337</v>
      </c>
      <c r="DQ7" s="22">
        <f>Demand!DQ17</f>
        <v>233333.33333333337</v>
      </c>
      <c r="DR7" s="22">
        <f>Demand!DR17</f>
        <v>233333.33333333337</v>
      </c>
      <c r="DS7" s="22">
        <f>Demand!DS17</f>
        <v>233333.33333333337</v>
      </c>
      <c r="DT7" s="22">
        <f>Demand!DT17</f>
        <v>233333.33333333337</v>
      </c>
      <c r="DU7" s="22">
        <f>Demand!DU17</f>
        <v>233333.33333333337</v>
      </c>
      <c r="DV7" s="22">
        <f>Demand!DV17</f>
        <v>233333.33333333337</v>
      </c>
      <c r="DW7" s="22">
        <f>Demand!DW17</f>
        <v>233333.33333333337</v>
      </c>
      <c r="DX7" s="22">
        <f>Demand!DX17</f>
        <v>233333.33333333337</v>
      </c>
      <c r="DY7" s="22">
        <f>Demand!DY17</f>
        <v>233333.33333333337</v>
      </c>
      <c r="DZ7" s="22">
        <f>Demand!DZ17</f>
        <v>233333.33333333337</v>
      </c>
      <c r="EA7" s="23">
        <f>SUM(Demand!DO17:DZ17)</f>
        <v>2800000.0000000014</v>
      </c>
      <c r="EB7" s="22">
        <f>Demand!EB17</f>
        <v>233333.33333333337</v>
      </c>
      <c r="EC7" s="22">
        <f>Demand!EC17</f>
        <v>233333.33333333337</v>
      </c>
      <c r="ED7" s="22">
        <f>Demand!ED17</f>
        <v>233333.33333333337</v>
      </c>
      <c r="EE7" s="22">
        <f>Demand!EE17</f>
        <v>233333.33333333337</v>
      </c>
      <c r="EF7" s="22">
        <f>Demand!EF17</f>
        <v>233333.33333333337</v>
      </c>
      <c r="EG7" s="22">
        <f>Demand!EG17</f>
        <v>233333.33333333337</v>
      </c>
      <c r="EH7" s="22">
        <f>Demand!EH17</f>
        <v>233333.33333333337</v>
      </c>
      <c r="EI7" s="22">
        <f>Demand!EI17</f>
        <v>233333.33333333337</v>
      </c>
      <c r="EJ7" s="22">
        <f>Demand!EJ17</f>
        <v>233333.33333333337</v>
      </c>
      <c r="EK7" s="22">
        <f>Demand!EK17</f>
        <v>233333.33333333337</v>
      </c>
      <c r="EL7" s="22">
        <f>Demand!EL17</f>
        <v>233333.33333333337</v>
      </c>
      <c r="EM7" s="22">
        <f>Demand!EM17</f>
        <v>233333.33333333337</v>
      </c>
      <c r="EN7" s="23">
        <f>SUM(Demand!EB17:EM17)</f>
        <v>2800000.0000000014</v>
      </c>
    </row>
    <row r="8" spans="1:144" ht="12.75" customHeight="1" x14ac:dyDescent="0.2">
      <c r="A8" s="5"/>
      <c r="B8" s="24"/>
      <c r="C8" s="24"/>
      <c r="D8" s="24"/>
      <c r="E8" s="24"/>
      <c r="F8" s="24"/>
      <c r="G8" s="24"/>
      <c r="H8" s="24"/>
      <c r="I8" s="24"/>
      <c r="J8" s="24"/>
      <c r="K8" s="24"/>
      <c r="L8" s="24"/>
      <c r="M8" s="24"/>
      <c r="N8" s="5"/>
      <c r="O8" s="24"/>
      <c r="P8" s="24"/>
      <c r="Q8" s="24"/>
      <c r="R8" s="24"/>
      <c r="S8" s="24"/>
      <c r="T8" s="24"/>
      <c r="U8" s="24"/>
      <c r="V8" s="24"/>
      <c r="W8" s="24"/>
      <c r="X8" s="24"/>
      <c r="Y8" s="24"/>
      <c r="Z8" s="24"/>
      <c r="AA8" s="5"/>
      <c r="AB8" s="24"/>
      <c r="AC8" s="24"/>
      <c r="AD8" s="24"/>
      <c r="AE8" s="24"/>
      <c r="AF8" s="24"/>
      <c r="AG8" s="24"/>
      <c r="AH8" s="24"/>
      <c r="AI8" s="24"/>
      <c r="AJ8" s="24"/>
      <c r="AK8" s="24"/>
      <c r="AL8" s="24"/>
      <c r="AM8" s="24"/>
      <c r="AN8" s="5"/>
      <c r="AO8" s="24"/>
      <c r="AP8" s="24"/>
      <c r="AQ8" s="24"/>
      <c r="AR8" s="24"/>
      <c r="AS8" s="24"/>
      <c r="AT8" s="24"/>
      <c r="AU8" s="24"/>
      <c r="AV8" s="24"/>
      <c r="AW8" s="24"/>
      <c r="AX8" s="24"/>
      <c r="AY8" s="24"/>
      <c r="AZ8" s="24"/>
      <c r="BA8" s="5"/>
      <c r="BB8" s="24"/>
      <c r="BC8" s="24"/>
      <c r="BD8" s="24"/>
      <c r="BE8" s="24"/>
      <c r="BF8" s="24"/>
      <c r="BG8" s="24"/>
      <c r="BH8" s="24"/>
      <c r="BI8" s="24"/>
      <c r="BJ8" s="24"/>
      <c r="BK8" s="24"/>
      <c r="BL8" s="24"/>
      <c r="BM8" s="24"/>
      <c r="BN8" s="5"/>
      <c r="BO8" s="24"/>
      <c r="BP8" s="24"/>
      <c r="BQ8" s="24"/>
      <c r="BR8" s="24"/>
      <c r="BS8" s="24"/>
      <c r="BT8" s="24"/>
      <c r="BU8" s="24"/>
      <c r="BV8" s="24"/>
      <c r="BW8" s="24"/>
      <c r="BX8" s="24"/>
      <c r="BY8" s="24"/>
      <c r="BZ8" s="24"/>
      <c r="CA8" s="5"/>
      <c r="CB8" s="24"/>
      <c r="CC8" s="24"/>
      <c r="CD8" s="24"/>
      <c r="CE8" s="24"/>
      <c r="CF8" s="24"/>
      <c r="CG8" s="24"/>
      <c r="CH8" s="24"/>
      <c r="CI8" s="24"/>
      <c r="CJ8" s="24"/>
      <c r="CK8" s="24"/>
      <c r="CL8" s="24"/>
      <c r="CM8" s="24"/>
      <c r="CN8" s="5"/>
      <c r="CO8" s="24"/>
      <c r="CP8" s="24"/>
      <c r="CQ8" s="24"/>
      <c r="CR8" s="24"/>
      <c r="CS8" s="24"/>
      <c r="CT8" s="24"/>
      <c r="CU8" s="24"/>
      <c r="CV8" s="24"/>
      <c r="CW8" s="24"/>
      <c r="CX8" s="24"/>
      <c r="CY8" s="24"/>
      <c r="CZ8" s="24"/>
      <c r="DA8" s="5"/>
      <c r="DB8" s="24"/>
      <c r="DC8" s="24"/>
      <c r="DD8" s="24"/>
      <c r="DE8" s="24"/>
      <c r="DF8" s="24"/>
      <c r="DG8" s="24"/>
      <c r="DH8" s="24"/>
      <c r="DI8" s="24"/>
      <c r="DJ8" s="24"/>
      <c r="DK8" s="24"/>
      <c r="DL8" s="24"/>
      <c r="DM8" s="24"/>
      <c r="DN8" s="5"/>
      <c r="DO8" s="24"/>
      <c r="DP8" s="24"/>
      <c r="DQ8" s="24"/>
      <c r="DR8" s="24"/>
      <c r="DS8" s="24"/>
      <c r="DT8" s="24"/>
      <c r="DU8" s="24"/>
      <c r="DV8" s="24"/>
      <c r="DW8" s="24"/>
      <c r="DX8" s="24"/>
      <c r="DY8" s="24"/>
      <c r="DZ8" s="24"/>
      <c r="EA8" s="5"/>
      <c r="EB8" s="24"/>
      <c r="EC8" s="24"/>
      <c r="ED8" s="24"/>
      <c r="EE8" s="24"/>
      <c r="EF8" s="24"/>
      <c r="EG8" s="24"/>
      <c r="EH8" s="24"/>
      <c r="EI8" s="24"/>
      <c r="EJ8" s="24"/>
      <c r="EK8" s="24"/>
      <c r="EL8" s="24"/>
      <c r="EM8" s="24"/>
      <c r="EN8" s="5"/>
    </row>
    <row r="9" spans="1:144" ht="12.75" customHeight="1" x14ac:dyDescent="0.2">
      <c r="A9" s="11" t="str">
        <f>Labels!B30</f>
        <v>Gov Transfers</v>
      </c>
      <c r="B9" s="25">
        <f>Demand!B19</f>
        <v>116666.66666666669</v>
      </c>
      <c r="C9" s="25">
        <f>Demand!C19</f>
        <v>116666.66666666669</v>
      </c>
      <c r="D9" s="25">
        <f>Demand!D19</f>
        <v>116666.66666666669</v>
      </c>
      <c r="E9" s="25">
        <f>Demand!E19</f>
        <v>116666.66666666669</v>
      </c>
      <c r="F9" s="25">
        <f>Demand!F19</f>
        <v>116666.66666666669</v>
      </c>
      <c r="G9" s="25">
        <f>Demand!G19</f>
        <v>116666.66666666669</v>
      </c>
      <c r="H9" s="25">
        <f>Demand!H19</f>
        <v>116666.66666666669</v>
      </c>
      <c r="I9" s="25">
        <f>Demand!I19</f>
        <v>116666.66666666669</v>
      </c>
      <c r="J9" s="25">
        <f>Demand!J19</f>
        <v>116666.66666666669</v>
      </c>
      <c r="K9" s="25">
        <f>Demand!K19</f>
        <v>116666.66666666669</v>
      </c>
      <c r="L9" s="25">
        <f>Demand!L19</f>
        <v>116666.66666666669</v>
      </c>
      <c r="M9" s="25">
        <f>Demand!M19</f>
        <v>116666.66666666669</v>
      </c>
      <c r="N9" s="26">
        <f>SUM(Demand!B19:M19)</f>
        <v>1400000.0000000007</v>
      </c>
      <c r="O9" s="25">
        <f>Demand!O19</f>
        <v>116666.66666666669</v>
      </c>
      <c r="P9" s="25">
        <f>Demand!P19</f>
        <v>116666.66666666669</v>
      </c>
      <c r="Q9" s="25">
        <f>Demand!Q19</f>
        <v>116666.66666666669</v>
      </c>
      <c r="R9" s="25">
        <f>Demand!R19</f>
        <v>116666.66666666669</v>
      </c>
      <c r="S9" s="25">
        <f>Demand!S19</f>
        <v>116666.66666666669</v>
      </c>
      <c r="T9" s="25">
        <f>Demand!T19</f>
        <v>116666.66666666669</v>
      </c>
      <c r="U9" s="25">
        <f>Demand!U19</f>
        <v>116666.66666666669</v>
      </c>
      <c r="V9" s="25">
        <f>Demand!V19</f>
        <v>116666.66666666669</v>
      </c>
      <c r="W9" s="25">
        <f>Demand!W19</f>
        <v>116666.66666666669</v>
      </c>
      <c r="X9" s="25">
        <f>Demand!X19</f>
        <v>116666.66666666669</v>
      </c>
      <c r="Y9" s="25">
        <f>Demand!Y19</f>
        <v>116666.66666666669</v>
      </c>
      <c r="Z9" s="25">
        <f>Demand!Z19</f>
        <v>116666.66666666669</v>
      </c>
      <c r="AA9" s="26">
        <f>SUM(Demand!O19:Z19)</f>
        <v>1400000.0000000007</v>
      </c>
      <c r="AB9" s="25">
        <f>Demand!AB19</f>
        <v>116666.66666666669</v>
      </c>
      <c r="AC9" s="25">
        <f>Demand!AC19</f>
        <v>116666.66666666669</v>
      </c>
      <c r="AD9" s="25">
        <f>Demand!AD19</f>
        <v>116666.66666666669</v>
      </c>
      <c r="AE9" s="25">
        <f>Demand!AE19</f>
        <v>116666.66666666669</v>
      </c>
      <c r="AF9" s="25">
        <f>Demand!AF19</f>
        <v>116666.66666666669</v>
      </c>
      <c r="AG9" s="25">
        <f>Demand!AG19</f>
        <v>116666.66666666669</v>
      </c>
      <c r="AH9" s="25">
        <f>Demand!AH19</f>
        <v>116666.66666666669</v>
      </c>
      <c r="AI9" s="25">
        <f>Demand!AI19</f>
        <v>116666.66666666669</v>
      </c>
      <c r="AJ9" s="25">
        <f>Demand!AJ19</f>
        <v>116666.66666666669</v>
      </c>
      <c r="AK9" s="25">
        <f>Demand!AK19</f>
        <v>116666.66666666669</v>
      </c>
      <c r="AL9" s="25">
        <f>Demand!AL19</f>
        <v>116666.66666666669</v>
      </c>
      <c r="AM9" s="25">
        <f>Demand!AM19</f>
        <v>116666.66666666669</v>
      </c>
      <c r="AN9" s="26">
        <f>SUM(Demand!AB19:AM19)</f>
        <v>1400000.0000000007</v>
      </c>
      <c r="AO9" s="25">
        <f>Demand!AO19</f>
        <v>116666.66666666669</v>
      </c>
      <c r="AP9" s="25">
        <f>Demand!AP19</f>
        <v>116666.66666666669</v>
      </c>
      <c r="AQ9" s="25">
        <f>Demand!AQ19</f>
        <v>116666.66666666669</v>
      </c>
      <c r="AR9" s="25">
        <f>Demand!AR19</f>
        <v>116666.66666666669</v>
      </c>
      <c r="AS9" s="25">
        <f>Demand!AS19</f>
        <v>116666.66666666669</v>
      </c>
      <c r="AT9" s="25">
        <f>Demand!AT19</f>
        <v>116666.66666666669</v>
      </c>
      <c r="AU9" s="25">
        <f>Demand!AU19</f>
        <v>116666.66666666669</v>
      </c>
      <c r="AV9" s="25">
        <f>Demand!AV19</f>
        <v>116666.66666666669</v>
      </c>
      <c r="AW9" s="25">
        <f>Demand!AW19</f>
        <v>116666.66666666669</v>
      </c>
      <c r="AX9" s="25">
        <f>Demand!AX19</f>
        <v>116666.66666666669</v>
      </c>
      <c r="AY9" s="25">
        <f>Demand!AY19</f>
        <v>116666.66666666669</v>
      </c>
      <c r="AZ9" s="25">
        <f>Demand!AZ19</f>
        <v>116666.66666666669</v>
      </c>
      <c r="BA9" s="26">
        <f>SUM(Demand!AO19:AZ19)</f>
        <v>1400000.0000000007</v>
      </c>
      <c r="BB9" s="25">
        <f>Demand!BB19</f>
        <v>116666.66666666669</v>
      </c>
      <c r="BC9" s="25">
        <f>Demand!BC19</f>
        <v>116666.66666666669</v>
      </c>
      <c r="BD9" s="25">
        <f>Demand!BD19</f>
        <v>116666.66666666669</v>
      </c>
      <c r="BE9" s="25">
        <f>Demand!BE19</f>
        <v>116666.66666666669</v>
      </c>
      <c r="BF9" s="25">
        <f>Demand!BF19</f>
        <v>116666.66666666669</v>
      </c>
      <c r="BG9" s="25">
        <f>Demand!BG19</f>
        <v>116666.66666666669</v>
      </c>
      <c r="BH9" s="25">
        <f>Demand!BH19</f>
        <v>116666.66666666669</v>
      </c>
      <c r="BI9" s="25">
        <f>Demand!BI19</f>
        <v>116666.66666666669</v>
      </c>
      <c r="BJ9" s="25">
        <f>Demand!BJ19</f>
        <v>116666.66666666669</v>
      </c>
      <c r="BK9" s="25">
        <f>Demand!BK19</f>
        <v>116666.66666666669</v>
      </c>
      <c r="BL9" s="25">
        <f>Demand!BL19</f>
        <v>116666.66666666669</v>
      </c>
      <c r="BM9" s="25">
        <f>Demand!BM19</f>
        <v>116666.66666666669</v>
      </c>
      <c r="BN9" s="26">
        <f>SUM(Demand!BB19:BM19)</f>
        <v>1400000.0000000007</v>
      </c>
      <c r="BO9" s="25">
        <f>Demand!BO19</f>
        <v>116666.66666666669</v>
      </c>
      <c r="BP9" s="25">
        <f>Demand!BP19</f>
        <v>116666.66666666669</v>
      </c>
      <c r="BQ9" s="25">
        <f>Demand!BQ19</f>
        <v>116666.66666666669</v>
      </c>
      <c r="BR9" s="25">
        <f>Demand!BR19</f>
        <v>116666.66666666669</v>
      </c>
      <c r="BS9" s="25">
        <f>Demand!BS19</f>
        <v>116666.66666666669</v>
      </c>
      <c r="BT9" s="25">
        <f>Demand!BT19</f>
        <v>116666.66666666669</v>
      </c>
      <c r="BU9" s="25">
        <f>Demand!BU19</f>
        <v>116666.66666666669</v>
      </c>
      <c r="BV9" s="25">
        <f>Demand!BV19</f>
        <v>116666.66666666669</v>
      </c>
      <c r="BW9" s="25">
        <f>Demand!BW19</f>
        <v>116666.66666666669</v>
      </c>
      <c r="BX9" s="25">
        <f>Demand!BX19</f>
        <v>116666.66666666669</v>
      </c>
      <c r="BY9" s="25">
        <f>Demand!BY19</f>
        <v>116666.66666666669</v>
      </c>
      <c r="BZ9" s="25">
        <f>Demand!BZ19</f>
        <v>116666.66666666669</v>
      </c>
      <c r="CA9" s="26">
        <f>SUM(Demand!BO19:BZ19)</f>
        <v>1400000.0000000007</v>
      </c>
      <c r="CB9" s="25">
        <f>Demand!CB19</f>
        <v>116666.66666666669</v>
      </c>
      <c r="CC9" s="25">
        <f>Demand!CC19</f>
        <v>116666.66666666669</v>
      </c>
      <c r="CD9" s="25">
        <f>Demand!CD19</f>
        <v>116666.66666666669</v>
      </c>
      <c r="CE9" s="25">
        <f>Demand!CE19</f>
        <v>116666.66666666669</v>
      </c>
      <c r="CF9" s="25">
        <f>Demand!CF19</f>
        <v>116666.66666666669</v>
      </c>
      <c r="CG9" s="25">
        <f>Demand!CG19</f>
        <v>116666.66666666669</v>
      </c>
      <c r="CH9" s="25">
        <f>Demand!CH19</f>
        <v>116666.66666666669</v>
      </c>
      <c r="CI9" s="25">
        <f>Demand!CI19</f>
        <v>116666.66666666669</v>
      </c>
      <c r="CJ9" s="25">
        <f>Demand!CJ19</f>
        <v>116666.66666666669</v>
      </c>
      <c r="CK9" s="25">
        <f>Demand!CK19</f>
        <v>116666.66666666669</v>
      </c>
      <c r="CL9" s="25">
        <f>Demand!CL19</f>
        <v>116666.66666666669</v>
      </c>
      <c r="CM9" s="25">
        <f>Demand!CM19</f>
        <v>116666.66666666669</v>
      </c>
      <c r="CN9" s="26">
        <f>SUM(Demand!CB19:CM19)</f>
        <v>1400000.0000000007</v>
      </c>
      <c r="CO9" s="25">
        <f>Demand!CO19</f>
        <v>116666.66666666669</v>
      </c>
      <c r="CP9" s="25">
        <f>Demand!CP19</f>
        <v>116666.66666666669</v>
      </c>
      <c r="CQ9" s="25">
        <f>Demand!CQ19</f>
        <v>116666.66666666669</v>
      </c>
      <c r="CR9" s="25">
        <f>Demand!CR19</f>
        <v>116666.66666666669</v>
      </c>
      <c r="CS9" s="25">
        <f>Demand!CS19</f>
        <v>116666.66666666669</v>
      </c>
      <c r="CT9" s="25">
        <f>Demand!CT19</f>
        <v>116666.66666666669</v>
      </c>
      <c r="CU9" s="25">
        <f>Demand!CU19</f>
        <v>116666.66666666669</v>
      </c>
      <c r="CV9" s="25">
        <f>Demand!CV19</f>
        <v>116666.66666666669</v>
      </c>
      <c r="CW9" s="25">
        <f>Demand!CW19</f>
        <v>116666.66666666669</v>
      </c>
      <c r="CX9" s="25">
        <f>Demand!CX19</f>
        <v>116666.66666666669</v>
      </c>
      <c r="CY9" s="25">
        <f>Demand!CY19</f>
        <v>116666.66666666669</v>
      </c>
      <c r="CZ9" s="25">
        <f>Demand!CZ19</f>
        <v>116666.66666666669</v>
      </c>
      <c r="DA9" s="26">
        <f>SUM(Demand!CO19:CZ19)</f>
        <v>1400000.0000000007</v>
      </c>
      <c r="DB9" s="25">
        <f>Demand!DB19</f>
        <v>116666.66666666669</v>
      </c>
      <c r="DC9" s="25">
        <f>Demand!DC19</f>
        <v>116666.66666666669</v>
      </c>
      <c r="DD9" s="25">
        <f>Demand!DD19</f>
        <v>116666.66666666669</v>
      </c>
      <c r="DE9" s="25">
        <f>Demand!DE19</f>
        <v>116666.66666666669</v>
      </c>
      <c r="DF9" s="25">
        <f>Demand!DF19</f>
        <v>116666.66666666669</v>
      </c>
      <c r="DG9" s="25">
        <f>Demand!DG19</f>
        <v>116666.66666666669</v>
      </c>
      <c r="DH9" s="25">
        <f>Demand!DH19</f>
        <v>116666.66666666669</v>
      </c>
      <c r="DI9" s="25">
        <f>Demand!DI19</f>
        <v>116666.66666666669</v>
      </c>
      <c r="DJ9" s="25">
        <f>Demand!DJ19</f>
        <v>116666.66666666669</v>
      </c>
      <c r="DK9" s="25">
        <f>Demand!DK19</f>
        <v>116666.66666666669</v>
      </c>
      <c r="DL9" s="25">
        <f>Demand!DL19</f>
        <v>116666.66666666669</v>
      </c>
      <c r="DM9" s="25">
        <f>Demand!DM19</f>
        <v>116666.66666666669</v>
      </c>
      <c r="DN9" s="26">
        <f>SUM(Demand!DB19:DM19)</f>
        <v>1400000.0000000007</v>
      </c>
      <c r="DO9" s="25">
        <f>Demand!DO19</f>
        <v>116666.66666666669</v>
      </c>
      <c r="DP9" s="25">
        <f>Demand!DP19</f>
        <v>116666.66666666669</v>
      </c>
      <c r="DQ9" s="25">
        <f>Demand!DQ19</f>
        <v>116666.66666666669</v>
      </c>
      <c r="DR9" s="25">
        <f>Demand!DR19</f>
        <v>116666.66666666669</v>
      </c>
      <c r="DS9" s="25">
        <f>Demand!DS19</f>
        <v>116666.66666666669</v>
      </c>
      <c r="DT9" s="25">
        <f>Demand!DT19</f>
        <v>116666.66666666669</v>
      </c>
      <c r="DU9" s="25">
        <f>Demand!DU19</f>
        <v>116666.66666666669</v>
      </c>
      <c r="DV9" s="25">
        <f>Demand!DV19</f>
        <v>116666.66666666669</v>
      </c>
      <c r="DW9" s="25">
        <f>Demand!DW19</f>
        <v>116666.66666666669</v>
      </c>
      <c r="DX9" s="25">
        <f>Demand!DX19</f>
        <v>116666.66666666669</v>
      </c>
      <c r="DY9" s="25">
        <f>Demand!DY19</f>
        <v>116666.66666666669</v>
      </c>
      <c r="DZ9" s="25">
        <f>Demand!DZ19</f>
        <v>116666.66666666669</v>
      </c>
      <c r="EA9" s="26">
        <f>SUM(Demand!DO19:DZ19)</f>
        <v>1400000.0000000007</v>
      </c>
      <c r="EB9" s="25">
        <f>Demand!EB19</f>
        <v>116666.66666666669</v>
      </c>
      <c r="EC9" s="25">
        <f>Demand!EC19</f>
        <v>116666.66666666669</v>
      </c>
      <c r="ED9" s="25">
        <f>Demand!ED19</f>
        <v>116666.66666666669</v>
      </c>
      <c r="EE9" s="25">
        <f>Demand!EE19</f>
        <v>116666.66666666669</v>
      </c>
      <c r="EF9" s="25">
        <f>Demand!EF19</f>
        <v>116666.66666666669</v>
      </c>
      <c r="EG9" s="25">
        <f>Demand!EG19</f>
        <v>116666.66666666669</v>
      </c>
      <c r="EH9" s="25">
        <f>Demand!EH19</f>
        <v>116666.66666666669</v>
      </c>
      <c r="EI9" s="25">
        <f>Demand!EI19</f>
        <v>116666.66666666669</v>
      </c>
      <c r="EJ9" s="25">
        <f>Demand!EJ19</f>
        <v>116666.66666666669</v>
      </c>
      <c r="EK9" s="25">
        <f>Demand!EK19</f>
        <v>116666.66666666669</v>
      </c>
      <c r="EL9" s="25">
        <f>Demand!EL19</f>
        <v>116666.66666666669</v>
      </c>
      <c r="EM9" s="25">
        <f>Demand!EM19</f>
        <v>116666.66666666669</v>
      </c>
      <c r="EN9" s="26">
        <f>SUM(Demand!EB19:EM19)</f>
        <v>1400000.0000000007</v>
      </c>
    </row>
    <row r="10" spans="1:144" ht="12.75" customHeight="1" x14ac:dyDescent="0.2">
      <c r="A10" s="5"/>
      <c r="B10" s="24"/>
      <c r="C10" s="24"/>
      <c r="D10" s="24"/>
      <c r="E10" s="24"/>
      <c r="F10" s="24"/>
      <c r="G10" s="24"/>
      <c r="H10" s="24"/>
      <c r="I10" s="24"/>
      <c r="J10" s="24"/>
      <c r="K10" s="24"/>
      <c r="L10" s="24"/>
      <c r="M10" s="24"/>
      <c r="N10" s="5"/>
      <c r="O10" s="24"/>
      <c r="P10" s="24"/>
      <c r="Q10" s="24"/>
      <c r="R10" s="24"/>
      <c r="S10" s="24"/>
      <c r="T10" s="24"/>
      <c r="U10" s="24"/>
      <c r="V10" s="24"/>
      <c r="W10" s="24"/>
      <c r="X10" s="24"/>
      <c r="Y10" s="24"/>
      <c r="Z10" s="24"/>
      <c r="AA10" s="5"/>
      <c r="AB10" s="24"/>
      <c r="AC10" s="24"/>
      <c r="AD10" s="24"/>
      <c r="AE10" s="24"/>
      <c r="AF10" s="24"/>
      <c r="AG10" s="24"/>
      <c r="AH10" s="24"/>
      <c r="AI10" s="24"/>
      <c r="AJ10" s="24"/>
      <c r="AK10" s="24"/>
      <c r="AL10" s="24"/>
      <c r="AM10" s="24"/>
      <c r="AN10" s="5"/>
      <c r="AO10" s="24"/>
      <c r="AP10" s="24"/>
      <c r="AQ10" s="24"/>
      <c r="AR10" s="24"/>
      <c r="AS10" s="24"/>
      <c r="AT10" s="24"/>
      <c r="AU10" s="24"/>
      <c r="AV10" s="24"/>
      <c r="AW10" s="24"/>
      <c r="AX10" s="24"/>
      <c r="AY10" s="24"/>
      <c r="AZ10" s="24"/>
      <c r="BA10" s="5"/>
      <c r="BB10" s="24"/>
      <c r="BC10" s="24"/>
      <c r="BD10" s="24"/>
      <c r="BE10" s="24"/>
      <c r="BF10" s="24"/>
      <c r="BG10" s="24"/>
      <c r="BH10" s="24"/>
      <c r="BI10" s="24"/>
      <c r="BJ10" s="24"/>
      <c r="BK10" s="24"/>
      <c r="BL10" s="24"/>
      <c r="BM10" s="24"/>
      <c r="BN10" s="5"/>
      <c r="BO10" s="24"/>
      <c r="BP10" s="24"/>
      <c r="BQ10" s="24"/>
      <c r="BR10" s="24"/>
      <c r="BS10" s="24"/>
      <c r="BT10" s="24"/>
      <c r="BU10" s="24"/>
      <c r="BV10" s="24"/>
      <c r="BW10" s="24"/>
      <c r="BX10" s="24"/>
      <c r="BY10" s="24"/>
      <c r="BZ10" s="24"/>
      <c r="CA10" s="5"/>
      <c r="CB10" s="24"/>
      <c r="CC10" s="24"/>
      <c r="CD10" s="24"/>
      <c r="CE10" s="24"/>
      <c r="CF10" s="24"/>
      <c r="CG10" s="24"/>
      <c r="CH10" s="24"/>
      <c r="CI10" s="24"/>
      <c r="CJ10" s="24"/>
      <c r="CK10" s="24"/>
      <c r="CL10" s="24"/>
      <c r="CM10" s="24"/>
      <c r="CN10" s="5"/>
      <c r="CO10" s="24"/>
      <c r="CP10" s="24"/>
      <c r="CQ10" s="24"/>
      <c r="CR10" s="24"/>
      <c r="CS10" s="24"/>
      <c r="CT10" s="24"/>
      <c r="CU10" s="24"/>
      <c r="CV10" s="24"/>
      <c r="CW10" s="24"/>
      <c r="CX10" s="24"/>
      <c r="CY10" s="24"/>
      <c r="CZ10" s="24"/>
      <c r="DA10" s="5"/>
      <c r="DB10" s="24"/>
      <c r="DC10" s="24"/>
      <c r="DD10" s="24"/>
      <c r="DE10" s="24"/>
      <c r="DF10" s="24"/>
      <c r="DG10" s="24"/>
      <c r="DH10" s="24"/>
      <c r="DI10" s="24"/>
      <c r="DJ10" s="24"/>
      <c r="DK10" s="24"/>
      <c r="DL10" s="24"/>
      <c r="DM10" s="24"/>
      <c r="DN10" s="5"/>
      <c r="DO10" s="24"/>
      <c r="DP10" s="24"/>
      <c r="DQ10" s="24"/>
      <c r="DR10" s="24"/>
      <c r="DS10" s="24"/>
      <c r="DT10" s="24"/>
      <c r="DU10" s="24"/>
      <c r="DV10" s="24"/>
      <c r="DW10" s="24"/>
      <c r="DX10" s="24"/>
      <c r="DY10" s="24"/>
      <c r="DZ10" s="24"/>
      <c r="EA10" s="5"/>
      <c r="EB10" s="24"/>
      <c r="EC10" s="24"/>
      <c r="ED10" s="24"/>
      <c r="EE10" s="24"/>
      <c r="EF10" s="24"/>
      <c r="EG10" s="24"/>
      <c r="EH10" s="24"/>
      <c r="EI10" s="24"/>
      <c r="EJ10" s="24"/>
      <c r="EK10" s="24"/>
      <c r="EL10" s="24"/>
      <c r="EM10" s="24"/>
      <c r="EN10" s="5"/>
    </row>
    <row r="11" spans="1:144" ht="12.75" customHeight="1" x14ac:dyDescent="0.2">
      <c r="A11" s="9" t="str">
        <f>Labels!B49</f>
        <v>Tax</v>
      </c>
      <c r="B11" s="27">
        <f ca="1">Inputs!B52*Output!B7</f>
        <v>357377.59996427811</v>
      </c>
      <c r="C11" s="27">
        <f ca="1">Inputs!B52*Output!C7</f>
        <v>353749.14439026231</v>
      </c>
      <c r="D11" s="27">
        <f ca="1">Inputs!B52*Output!D7</f>
        <v>359550.77844856773</v>
      </c>
      <c r="E11" s="27">
        <f ca="1">Inputs!B52*Output!E7</f>
        <v>346020.28578140377</v>
      </c>
      <c r="F11" s="27">
        <f ca="1">Inputs!B52*Output!F7</f>
        <v>365700.13876853994</v>
      </c>
      <c r="G11" s="27">
        <f ca="1">Inputs!B52*Output!G7</f>
        <v>358221.50746892643</v>
      </c>
      <c r="H11" s="27">
        <f ca="1">Inputs!B52*Output!H7</f>
        <v>366130.98812956503</v>
      </c>
      <c r="I11" s="27">
        <f ca="1">Inputs!B52*Output!I7</f>
        <v>345548.16261772951</v>
      </c>
      <c r="J11" s="27">
        <f ca="1">Inputs!B52*Output!J7</f>
        <v>354727.59840684436</v>
      </c>
      <c r="K11" s="27">
        <f ca="1">Inputs!B52*Output!K7</f>
        <v>356532.01832761982</v>
      </c>
      <c r="L11" s="27">
        <f ca="1">Inputs!B52*Output!L7</f>
        <v>349788.82970248879</v>
      </c>
      <c r="M11" s="27">
        <f ca="1">Inputs!B52*Output!M7</f>
        <v>340426.53790399554</v>
      </c>
      <c r="N11" s="28">
        <f ca="1">SUM(B11:M11)</f>
        <v>4253773.5899102213</v>
      </c>
      <c r="O11" s="27">
        <f ca="1">Inputs!B52*Output!O7</f>
        <v>348985.59820748947</v>
      </c>
      <c r="P11" s="27">
        <f ca="1">Inputs!B52*Output!P7</f>
        <v>340131.70527647284</v>
      </c>
      <c r="Q11" s="27">
        <f ca="1">Inputs!B52*Output!Q7</f>
        <v>347375.37879739917</v>
      </c>
      <c r="R11" s="27">
        <f ca="1">Inputs!B52*Output!R7</f>
        <v>350130.72313010163</v>
      </c>
      <c r="S11" s="27">
        <f ca="1">Inputs!B52*Output!S7</f>
        <v>357207.35107375699</v>
      </c>
      <c r="T11" s="27">
        <f ca="1">Inputs!B52*Output!T7</f>
        <v>342924.25093323807</v>
      </c>
      <c r="U11" s="27">
        <f ca="1">Inputs!B52*Output!U7</f>
        <v>353759.75926530903</v>
      </c>
      <c r="V11" s="27">
        <f ca="1">Inputs!B52*Output!V7</f>
        <v>355171.84070865286</v>
      </c>
      <c r="W11" s="27">
        <f ca="1">Inputs!B52*Output!W7</f>
        <v>344692.92179615702</v>
      </c>
      <c r="X11" s="27">
        <f ca="1">Inputs!B52*Output!X7</f>
        <v>346543.76392804959</v>
      </c>
      <c r="Y11" s="27">
        <f ca="1">Inputs!B52*Output!Y7</f>
        <v>345467.02991439466</v>
      </c>
      <c r="Z11" s="27">
        <f ca="1">Inputs!B52*Output!Z7</f>
        <v>348524.52570998087</v>
      </c>
      <c r="AA11" s="28">
        <f ca="1">SUM(O11:Z11)</f>
        <v>4180914.8487410024</v>
      </c>
      <c r="AB11" s="27">
        <f ca="1">Inputs!B52*Output!AB7</f>
        <v>341914.72017686284</v>
      </c>
      <c r="AC11" s="27">
        <f ca="1">Inputs!B52*Output!AC7</f>
        <v>356845.72912761039</v>
      </c>
      <c r="AD11" s="27">
        <f ca="1">Inputs!B52*Output!AD7</f>
        <v>368689.48752873822</v>
      </c>
      <c r="AE11" s="27">
        <f ca="1">Inputs!B52*Output!AE7</f>
        <v>348668.83983315801</v>
      </c>
      <c r="AF11" s="27">
        <f ca="1">Inputs!B52*Output!AF7</f>
        <v>339203.43784628628</v>
      </c>
      <c r="AG11" s="27">
        <f ca="1">Inputs!B52*Output!AG7</f>
        <v>340358.97898492491</v>
      </c>
      <c r="AH11" s="27">
        <f ca="1">Inputs!B52*Output!AH7</f>
        <v>356839.8351315388</v>
      </c>
      <c r="AI11" s="27">
        <f ca="1">Inputs!B52*Output!AI7</f>
        <v>342127.90398331505</v>
      </c>
      <c r="AJ11" s="27">
        <f ca="1">Inputs!B52*Output!AJ7</f>
        <v>333587.47169502836</v>
      </c>
      <c r="AK11" s="27">
        <f ca="1">Inputs!B52*Output!AK7</f>
        <v>359635.1940952838</v>
      </c>
      <c r="AL11" s="27">
        <f ca="1">Inputs!B52*Output!AL7</f>
        <v>355443.51113632269</v>
      </c>
      <c r="AM11" s="27">
        <f ca="1">Inputs!B52*Output!AM7</f>
        <v>354385.05062362901</v>
      </c>
      <c r="AN11" s="28">
        <f ca="1">SUM(AB11:AM11)</f>
        <v>4197700.1601626985</v>
      </c>
      <c r="AO11" s="27">
        <f ca="1">Inputs!B52*Output!AO7</f>
        <v>353291.26359944174</v>
      </c>
      <c r="AP11" s="27">
        <f ca="1">Inputs!B52*Output!AP7</f>
        <v>362515.53546399815</v>
      </c>
      <c r="AQ11" s="27">
        <f ca="1">Inputs!B52*Output!AQ7</f>
        <v>353880.69670826028</v>
      </c>
      <c r="AR11" s="27">
        <f ca="1">Inputs!B52*Output!AR7</f>
        <v>342790.57532556204</v>
      </c>
      <c r="AS11" s="27">
        <f ca="1">Inputs!B52*Output!AS7</f>
        <v>346386.19370782911</v>
      </c>
      <c r="AT11" s="27">
        <f ca="1">Inputs!B52*Output!AT7</f>
        <v>364802.74971878878</v>
      </c>
      <c r="AU11" s="27">
        <f ca="1">Inputs!B52*Output!AU7</f>
        <v>346552.55864010722</v>
      </c>
      <c r="AV11" s="27">
        <f ca="1">Inputs!B52*Output!AV7</f>
        <v>339178.19259400718</v>
      </c>
      <c r="AW11" s="27">
        <f ca="1">Inputs!B52*Output!AW7</f>
        <v>336088.71550270711</v>
      </c>
      <c r="AX11" s="27">
        <f ca="1">Inputs!B52*Output!AX7</f>
        <v>359110.18925851764</v>
      </c>
      <c r="AY11" s="27">
        <f ca="1">Inputs!B52*Output!AY7</f>
        <v>348013.42907833587</v>
      </c>
      <c r="AZ11" s="27">
        <f ca="1">Inputs!B52*Output!AZ7</f>
        <v>349728.37810322433</v>
      </c>
      <c r="BA11" s="28">
        <f ca="1">SUM(AO11:AZ11)</f>
        <v>4202338.4777007792</v>
      </c>
      <c r="BB11" s="27">
        <f ca="1">Inputs!B52*Output!BB7</f>
        <v>350114.15629979339</v>
      </c>
      <c r="BC11" s="27">
        <f ca="1">Inputs!B52*Output!BC7</f>
        <v>354870.02235616109</v>
      </c>
      <c r="BD11" s="27">
        <f ca="1">Inputs!B52*Output!BD7</f>
        <v>358455.95842517709</v>
      </c>
      <c r="BE11" s="27">
        <f ca="1">Inputs!B52*Output!BE7</f>
        <v>348108.33338841348</v>
      </c>
      <c r="BF11" s="27">
        <f ca="1">Inputs!B52*Output!BF7</f>
        <v>365985.09818267217</v>
      </c>
      <c r="BG11" s="27">
        <f ca="1">Inputs!B52*Output!BG7</f>
        <v>345450.60824642953</v>
      </c>
      <c r="BH11" s="27">
        <f ca="1">Inputs!B52*Output!BH7</f>
        <v>346082.99540587858</v>
      </c>
      <c r="BI11" s="27">
        <f ca="1">Inputs!B52*Output!BI7</f>
        <v>341484.8856419361</v>
      </c>
      <c r="BJ11" s="27">
        <f ca="1">Inputs!B52*Output!BJ7</f>
        <v>345761.69338900741</v>
      </c>
      <c r="BK11" s="27">
        <f ca="1">Inputs!B52*Output!BK7</f>
        <v>356741.04614270985</v>
      </c>
      <c r="BL11" s="27">
        <f ca="1">Inputs!B52*Output!BL7</f>
        <v>359345.24782461469</v>
      </c>
      <c r="BM11" s="27">
        <f ca="1">Inputs!B52*Output!BM7</f>
        <v>350925.8535717036</v>
      </c>
      <c r="BN11" s="28">
        <f ca="1">SUM(BB11:BM11)</f>
        <v>4223325.898874497</v>
      </c>
      <c r="BO11" s="27">
        <f ca="1">Inputs!B52*Output!BO7</f>
        <v>348648.17536791478</v>
      </c>
      <c r="BP11" s="27">
        <f ca="1">Inputs!B52*Output!BP7</f>
        <v>340533.87541480281</v>
      </c>
      <c r="BQ11" s="27">
        <f ca="1">Inputs!B52*Output!BQ7</f>
        <v>353216.309387977</v>
      </c>
      <c r="BR11" s="27">
        <f ca="1">Inputs!B52*Output!BR7</f>
        <v>340039.95113253244</v>
      </c>
      <c r="BS11" s="27">
        <f ca="1">Inputs!B52*Output!BS7</f>
        <v>362724.57735843596</v>
      </c>
      <c r="BT11" s="27">
        <f ca="1">Inputs!B52*Output!BT7</f>
        <v>349207.74007807788</v>
      </c>
      <c r="BU11" s="27">
        <f ca="1">Inputs!B52*Output!BU7</f>
        <v>344799.7633837203</v>
      </c>
      <c r="BV11" s="27">
        <f ca="1">Inputs!B52*Output!BV7</f>
        <v>346923.33719575836</v>
      </c>
      <c r="BW11" s="27">
        <f ca="1">Inputs!B52*Output!BW7</f>
        <v>354139.03088475572</v>
      </c>
      <c r="BX11" s="27">
        <f ca="1">Inputs!B52*Output!BX7</f>
        <v>348109.40183716163</v>
      </c>
      <c r="BY11" s="27">
        <f ca="1">Inputs!B52*Output!BY7</f>
        <v>367788.72242518346</v>
      </c>
      <c r="BZ11" s="27">
        <f ca="1">Inputs!B52*Output!BZ7</f>
        <v>365332.82508703897</v>
      </c>
      <c r="CA11" s="28">
        <f ca="1">SUM(BO11:BZ11)</f>
        <v>4221463.7095533591</v>
      </c>
      <c r="CB11" s="27">
        <f ca="1">Inputs!B52*Output!CB7</f>
        <v>341153.08783833799</v>
      </c>
      <c r="CC11" s="27">
        <f ca="1">Inputs!B52*Output!CC7</f>
        <v>354629.60528479534</v>
      </c>
      <c r="CD11" s="27">
        <f ca="1">Inputs!B52*Output!CD7</f>
        <v>353255.14717344631</v>
      </c>
      <c r="CE11" s="27">
        <f ca="1">Inputs!B52*Output!CE7</f>
        <v>360738.05067622958</v>
      </c>
      <c r="CF11" s="27">
        <f ca="1">Inputs!B52*Output!CF7</f>
        <v>355829.40268714156</v>
      </c>
      <c r="CG11" s="27">
        <f ca="1">Inputs!B52*Output!CG7</f>
        <v>348209.68247455306</v>
      </c>
      <c r="CH11" s="27">
        <f ca="1">Inputs!B52*Output!CH7</f>
        <v>340988.23511114734</v>
      </c>
      <c r="CI11" s="27">
        <f ca="1">Inputs!B52*Output!CI7</f>
        <v>340042.18135460548</v>
      </c>
      <c r="CJ11" s="27">
        <f ca="1">Inputs!B52*Output!CJ7</f>
        <v>350157.00324118673</v>
      </c>
      <c r="CK11" s="27">
        <f ca="1">Inputs!B52*Output!CK7</f>
        <v>360583.2189974137</v>
      </c>
      <c r="CL11" s="27">
        <f ca="1">Inputs!B52*Output!CL7</f>
        <v>354373.85356874391</v>
      </c>
      <c r="CM11" s="27">
        <f ca="1">Inputs!B52*Output!CM7</f>
        <v>367056.72155350057</v>
      </c>
      <c r="CN11" s="28">
        <f ca="1">SUM(CB11:CM11)</f>
        <v>4227016.1899611019</v>
      </c>
      <c r="CO11" s="27">
        <f ca="1">Inputs!B52*Output!CO7</f>
        <v>341566.47481244581</v>
      </c>
      <c r="CP11" s="27">
        <f ca="1">Inputs!B52*Output!CP7</f>
        <v>337395.87816301733</v>
      </c>
      <c r="CQ11" s="27">
        <f ca="1">Inputs!B52*Output!CQ7</f>
        <v>355713.74477041134</v>
      </c>
      <c r="CR11" s="27">
        <f ca="1">Inputs!B52*Output!CR7</f>
        <v>359313.19823150779</v>
      </c>
      <c r="CS11" s="27">
        <f ca="1">Inputs!B52*Output!CS7</f>
        <v>353554.67799849808</v>
      </c>
      <c r="CT11" s="27">
        <f ca="1">Inputs!B52*Output!CT7</f>
        <v>357448.65041598311</v>
      </c>
      <c r="CU11" s="27">
        <f ca="1">Inputs!B52*Output!CU7</f>
        <v>339619.56951486605</v>
      </c>
      <c r="CV11" s="27">
        <f ca="1">Inputs!B52*Output!CV7</f>
        <v>333747.01713752624</v>
      </c>
      <c r="CW11" s="27">
        <f ca="1">Inputs!B52*Output!CW7</f>
        <v>338822.24748030672</v>
      </c>
      <c r="CX11" s="27">
        <f ca="1">Inputs!B52*Output!CX7</f>
        <v>340780.2212166714</v>
      </c>
      <c r="CY11" s="27">
        <f ca="1">Inputs!B52*Output!CY7</f>
        <v>346242.18426788138</v>
      </c>
      <c r="CZ11" s="27">
        <f ca="1">Inputs!B52*Output!CZ7</f>
        <v>346633.11028366216</v>
      </c>
      <c r="DA11" s="28">
        <f ca="1">SUM(CO11:CZ11)</f>
        <v>4150836.974292777</v>
      </c>
      <c r="DB11" s="27">
        <f ca="1">Inputs!B52*Output!DB7</f>
        <v>357543.30811190844</v>
      </c>
      <c r="DC11" s="27">
        <f ca="1">Inputs!B52*Output!DC7</f>
        <v>352236.49550180987</v>
      </c>
      <c r="DD11" s="27">
        <f ca="1">Inputs!B52*Output!DD7</f>
        <v>346373.0031575372</v>
      </c>
      <c r="DE11" s="27">
        <f ca="1">Inputs!B52*Output!DE7</f>
        <v>353084.00775288511</v>
      </c>
      <c r="DF11" s="27">
        <f ca="1">Inputs!B52*Output!DF7</f>
        <v>339292.87635857391</v>
      </c>
      <c r="DG11" s="27">
        <f ca="1">Inputs!B52*Output!DG7</f>
        <v>351816.43707731349</v>
      </c>
      <c r="DH11" s="27">
        <f ca="1">Inputs!B52*Output!DH7</f>
        <v>350036.25443983497</v>
      </c>
      <c r="DI11" s="27">
        <f ca="1">Inputs!B52*Output!DI7</f>
        <v>334590.1534410672</v>
      </c>
      <c r="DJ11" s="27">
        <f ca="1">Inputs!B52*Output!DJ7</f>
        <v>349094.61732876988</v>
      </c>
      <c r="DK11" s="27">
        <f ca="1">Inputs!B52*Output!DK7</f>
        <v>357998.19420191686</v>
      </c>
      <c r="DL11" s="27">
        <f ca="1">Inputs!B52*Output!DL7</f>
        <v>361683.04120921571</v>
      </c>
      <c r="DM11" s="27">
        <f ca="1">Inputs!B52*Output!DM7</f>
        <v>350869.85501861054</v>
      </c>
      <c r="DN11" s="28">
        <f ca="1">SUM(DB11:DM11)</f>
        <v>4204618.2435994437</v>
      </c>
      <c r="DO11" s="27">
        <f ca="1">Inputs!B52*Output!DO7</f>
        <v>348910.81836623099</v>
      </c>
      <c r="DP11" s="27">
        <f ca="1">Inputs!B52*Output!DP7</f>
        <v>354245.66343878355</v>
      </c>
      <c r="DQ11" s="27">
        <f ca="1">Inputs!B52*Output!DQ7</f>
        <v>336827.96824947809</v>
      </c>
      <c r="DR11" s="27">
        <f ca="1">Inputs!B52*Output!DR7</f>
        <v>342092.68567199307</v>
      </c>
      <c r="DS11" s="27">
        <f ca="1">Inputs!B52*Output!DS7</f>
        <v>353213.48422761948</v>
      </c>
      <c r="DT11" s="27">
        <f ca="1">Inputs!B52*Output!DT7</f>
        <v>351490.97377943899</v>
      </c>
      <c r="DU11" s="27">
        <f ca="1">Inputs!B52*Output!DU7</f>
        <v>332790.64743282535</v>
      </c>
      <c r="DV11" s="27">
        <f ca="1">Inputs!B52*Output!DV7</f>
        <v>358289.14907986281</v>
      </c>
      <c r="DW11" s="27">
        <f ca="1">Inputs!B52*Output!DW7</f>
        <v>347469.35049865633</v>
      </c>
      <c r="DX11" s="27">
        <f ca="1">Inputs!B52*Output!DX7</f>
        <v>335218.4673153545</v>
      </c>
      <c r="DY11" s="27">
        <f ca="1">Inputs!B52*Output!DY7</f>
        <v>365790.87941404904</v>
      </c>
      <c r="DZ11" s="27">
        <f ca="1">Inputs!B52*Output!DZ7</f>
        <v>353348.50931814773</v>
      </c>
      <c r="EA11" s="28">
        <f ca="1">SUM(DO11:DZ11)</f>
        <v>4179688.5967924399</v>
      </c>
      <c r="EB11" s="27">
        <f ca="1">Inputs!B52*Output!EB7</f>
        <v>353788.73678805359</v>
      </c>
      <c r="EC11" s="27">
        <f ca="1">Inputs!B52*Output!EC7</f>
        <v>354667.57594789198</v>
      </c>
      <c r="ED11" s="27">
        <f ca="1">Inputs!B52*Output!ED7</f>
        <v>342262.67110998207</v>
      </c>
      <c r="EE11" s="27">
        <f ca="1">Inputs!B52*Output!EE7</f>
        <v>338813.53071862948</v>
      </c>
      <c r="EF11" s="27">
        <f ca="1">Inputs!B52*Output!EF7</f>
        <v>358654.09650182782</v>
      </c>
      <c r="EG11" s="27">
        <f ca="1">Inputs!B52*Output!EG7</f>
        <v>350350.24292936968</v>
      </c>
      <c r="EH11" s="27">
        <f ca="1">Inputs!B52*Output!EH7</f>
        <v>353994.83754297235</v>
      </c>
      <c r="EI11" s="27">
        <f ca="1">Inputs!B52*Output!EI7</f>
        <v>362299.55853572843</v>
      </c>
      <c r="EJ11" s="27">
        <f ca="1">Inputs!B52*Output!EJ7</f>
        <v>341029.01538104197</v>
      </c>
      <c r="EK11" s="27">
        <f ca="1">Inputs!B52*Output!EK7</f>
        <v>349485.33827645693</v>
      </c>
      <c r="EL11" s="27">
        <f ca="1">Inputs!B52*Output!EL7</f>
        <v>360665.24641628773</v>
      </c>
      <c r="EM11" s="27">
        <f ca="1">Inputs!B52*Output!EM7</f>
        <v>359854.1059825017</v>
      </c>
      <c r="EN11" s="28">
        <f ca="1">SUM(EB11:EM11)</f>
        <v>4225864.9561307449</v>
      </c>
    </row>
    <row r="13" spans="1:144" ht="12.75" customHeight="1" x14ac:dyDescent="0.2">
      <c r="A13" s="7" t="str">
        <f>Labels!B27</f>
        <v>Equilib Gov Spending</v>
      </c>
      <c r="B13" s="23">
        <f>Inputs!B50*Output!B13</f>
        <v>233333.33333333337</v>
      </c>
      <c r="D13" s="5" t="str">
        <f>Labels!B50</f>
        <v>Tax Rate</v>
      </c>
      <c r="E13" s="36">
        <f>Inputs!B52</f>
        <v>0.30000000000000004</v>
      </c>
    </row>
    <row r="14" spans="1:144" ht="12.75" customHeight="1" x14ac:dyDescent="0.2">
      <c r="A14" s="9" t="str">
        <f>Labels!B28</f>
        <v>Equilibrium Gov Spend %</v>
      </c>
      <c r="B14" s="37">
        <f>Inputs!B50</f>
        <v>0.2</v>
      </c>
    </row>
    <row r="16" spans="1:144" ht="12.75" customHeight="1" x14ac:dyDescent="0.2">
      <c r="A16" s="7" t="str">
        <f>Labels!B31</f>
        <v>Equilib Gov Transfers</v>
      </c>
      <c r="B16" s="23">
        <f>Inputs!B51*Output!B13</f>
        <v>116666.66666666669</v>
      </c>
    </row>
    <row r="17" spans="1:2" ht="12.75" customHeight="1" x14ac:dyDescent="0.2">
      <c r="A17" s="9" t="str">
        <f>Labels!B32</f>
        <v>Equilibrium Gov Transfers %</v>
      </c>
      <c r="B17" s="37">
        <f>Inputs!B51</f>
        <v>0.1</v>
      </c>
    </row>
  </sheetData>
  <mergeCells count="5">
    <mergeCell ref="A1:C1"/>
    <mergeCell ref="A2:C2"/>
    <mergeCell ref="A3:C3"/>
    <mergeCell ref="A4:C4"/>
    <mergeCell ref="A5:C5"/>
  </mergeCells>
  <pageMargins left="0.75" right="0.75" top="1" bottom="1" header="0.5" footer="0.5"/>
  <pageSetup paperSize="9" orientation="landscape" horizontalDpi="0" verticalDpi="0" copies="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01EA9AA-CCB1-4276-A277-03713E7FAE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Intro</vt:lpstr>
      <vt:lpstr>Graphs</vt:lpstr>
      <vt:lpstr>Inputs</vt:lpstr>
      <vt:lpstr>Demand</vt:lpstr>
      <vt:lpstr>Capital</vt:lpstr>
      <vt:lpstr>Employment</vt:lpstr>
      <vt:lpstr>Income</vt:lpstr>
      <vt:lpstr>Output</vt:lpstr>
      <vt:lpstr>Gov</vt:lpstr>
      <vt:lpstr>Shocks</vt:lpstr>
      <vt:lpstr>Formulas</vt:lpstr>
      <vt:lpstr>(Intermediate Computations)</vt:lpstr>
      <vt:lpstr>(Other Computations)</vt:lpstr>
      <vt:lpstr>Labels</vt:lpstr>
      <vt:lpstr>ZZZ__FnCalls</vt:lpstr>
      <vt:lpstr>ZZZ_Ranges</vt:lpstr>
      <vt:lpstr>ZZZ_Import</vt:lpstr>
      <vt:lpstr>Capital</vt:lpstr>
      <vt:lpstr>Capital_Date</vt:lpstr>
      <vt:lpstr>Capital_Desired</vt:lpstr>
      <vt:lpstr>Capital_Desired_Date</vt:lpstr>
      <vt:lpstr>Capital_Desired_Time_Period</vt:lpstr>
      <vt:lpstr>Capital_Time_Period</vt:lpstr>
      <vt:lpstr>Consumption</vt:lpstr>
      <vt:lpstr>Consumption_Date</vt:lpstr>
      <vt:lpstr>Consumption_Time_Period</vt:lpstr>
      <vt:lpstr>Demand_Aggregate</vt:lpstr>
      <vt:lpstr>Demand_Aggregate_Date</vt:lpstr>
      <vt:lpstr>Demand_Aggregate_Time_Period</vt:lpstr>
      <vt:lpstr>Demand_Expected_Long</vt:lpstr>
      <vt:lpstr>Demand_Expected_Long_Date</vt:lpstr>
      <vt:lpstr>Demand_Expected_Long_Time_Period</vt:lpstr>
      <vt:lpstr>Demand_Expected_Short</vt:lpstr>
      <vt:lpstr>Demand_Expected_Short_Date</vt:lpstr>
      <vt:lpstr>Demand_Expected_Short_Time_Period</vt:lpstr>
      <vt:lpstr>Employment</vt:lpstr>
      <vt:lpstr>Employment_Date</vt:lpstr>
      <vt:lpstr>Employment_Desired</vt:lpstr>
      <vt:lpstr>Employment_Desired_Date</vt:lpstr>
      <vt:lpstr>Employment_Desired_Time_Period</vt:lpstr>
      <vt:lpstr>Employment_Time_Period</vt:lpstr>
      <vt:lpstr>Final_Sales</vt:lpstr>
      <vt:lpstr>Final_Sales_Date</vt:lpstr>
      <vt:lpstr>Final_Sales_Time_Period</vt:lpstr>
      <vt:lpstr>Income_Current_Disposable</vt:lpstr>
      <vt:lpstr>Income_Current_Disposable_Date</vt:lpstr>
      <vt:lpstr>Income_Current_Disposable_Time_Period</vt:lpstr>
      <vt:lpstr>Income_Permanent</vt:lpstr>
      <vt:lpstr>Income_Permanent_Date</vt:lpstr>
      <vt:lpstr>Income_Permanent_Time_Period</vt:lpstr>
      <vt:lpstr>Model_Start_Date</vt:lpstr>
      <vt:lpstr>Output</vt:lpstr>
      <vt:lpstr>Output_Date</vt:lpstr>
      <vt:lpstr>Output_Potential</vt:lpstr>
      <vt:lpstr>Output_Potential_Date</vt:lpstr>
      <vt:lpstr>Output_Potential_Time_Period</vt:lpstr>
      <vt:lpstr>Output_Time_Period</vt:lpstr>
      <vt:lpstr>Intro!Print_Titles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cp:lastPrinted>2009-03-20T22:49:29Z</cp:lastPrinted>
  <dcterms:created xsi:type="dcterms:W3CDTF">2014-10-25T21:36:10Z</dcterms:created>
  <dcterms:modified xsi:type="dcterms:W3CDTF">2014-10-25T21:36:10Z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TC103609659990</vt:lpwstr>
  </property>
</Properties>
</file>